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33531\Desktop\TM Calculators 5-11-2016\"/>
    </mc:Choice>
  </mc:AlternateContent>
  <workbookProtection workbookAlgorithmName="SHA-512" workbookHashValue="NsSx+6XDwJv0OEuTRTJswui+XscgyiHA/+8WprSB3T+3lRBVZt1XCd7GSqEmcPuUR+6LvUVzNFWQcYPt+zZ+dw==" workbookSaltValue="6jqgIdwYaXFxLEsfbi+bkg==" workbookSpinCount="100000" lockStructure="1"/>
  <bookViews>
    <workbookView xWindow="0" yWindow="0" windowWidth="23040" windowHeight="8832" tabRatio="883"/>
  </bookViews>
  <sheets>
    <sheet name="rev. 05.20.16" sheetId="1" r:id="rId1"/>
    <sheet name="TM-21 Inputs" sheetId="2" r:id="rId2"/>
    <sheet name="Product Inputs" sheetId="3" r:id="rId3"/>
    <sheet name="TM-21 Projection" sheetId="8" r:id="rId4"/>
    <sheet name="TM-21 Report" sheetId="13" r:id="rId5"/>
    <sheet name="Hide when public ==&gt;" sheetId="11" state="hidden" r:id="rId6"/>
    <sheet name="Calculations - Case Temp 1" sheetId="5" state="hidden" r:id="rId7"/>
    <sheet name="Calculations - Case Temp 2" sheetId="6" state="hidden" r:id="rId8"/>
    <sheet name="Calculations - Case Temp 3" sheetId="7" state="hidden" r:id="rId9"/>
  </sheets>
  <calcPr calcId="152511"/>
</workbook>
</file>

<file path=xl/calcChain.xml><?xml version="1.0" encoding="utf-8"?>
<calcChain xmlns="http://schemas.openxmlformats.org/spreadsheetml/2006/main">
  <c r="E7" i="7" l="1"/>
  <c r="E8" i="7"/>
  <c r="E9" i="7"/>
  <c r="E10" i="7"/>
  <c r="E11" i="7"/>
  <c r="E12" i="7"/>
  <c r="E13" i="7"/>
  <c r="E14" i="7"/>
  <c r="E15" i="7"/>
  <c r="E16" i="7"/>
  <c r="E17" i="7"/>
  <c r="E18" i="7"/>
  <c r="E19" i="7"/>
  <c r="E20" i="7"/>
  <c r="E21" i="7"/>
  <c r="E22" i="7"/>
  <c r="E23" i="7"/>
  <c r="E24" i="7"/>
  <c r="E25" i="7"/>
  <c r="E26" i="7"/>
  <c r="F26" i="7" s="1"/>
  <c r="E27" i="7"/>
  <c r="F27" i="7" s="1"/>
  <c r="E28" i="7"/>
  <c r="I28" i="7" s="1"/>
  <c r="E29" i="7"/>
  <c r="F29" i="7" s="1"/>
  <c r="G29" i="7" s="1"/>
  <c r="E30" i="7"/>
  <c r="F30" i="7" s="1"/>
  <c r="E31" i="7"/>
  <c r="F31" i="7" s="1"/>
  <c r="E32" i="7"/>
  <c r="I32" i="7" s="1"/>
  <c r="E33" i="7"/>
  <c r="F33" i="7" s="1"/>
  <c r="G33" i="7" s="1"/>
  <c r="E34" i="7"/>
  <c r="F34" i="7" s="1"/>
  <c r="E35" i="7"/>
  <c r="F35" i="7" s="1"/>
  <c r="E36" i="7"/>
  <c r="I36" i="7" s="1"/>
  <c r="E37" i="7"/>
  <c r="F37" i="7" s="1"/>
  <c r="G37" i="7" s="1"/>
  <c r="E38" i="7"/>
  <c r="F38" i="7" s="1"/>
  <c r="E39" i="7"/>
  <c r="F39" i="7" s="1"/>
  <c r="E40" i="7"/>
  <c r="F40" i="7" s="1"/>
  <c r="G40" i="7" s="1"/>
  <c r="E41" i="7"/>
  <c r="F41" i="7" s="1"/>
  <c r="G41" i="7" s="1"/>
  <c r="E42" i="7"/>
  <c r="F42" i="7" s="1"/>
  <c r="E43" i="7"/>
  <c r="F43" i="7" s="1"/>
  <c r="E44" i="7"/>
  <c r="I44" i="7" s="1"/>
  <c r="E45" i="7"/>
  <c r="I45" i="7" s="1"/>
  <c r="E46" i="7"/>
  <c r="I46" i="7" s="1"/>
  <c r="E47" i="7"/>
  <c r="E48" i="7"/>
  <c r="I48" i="7" s="1"/>
  <c r="E49" i="7"/>
  <c r="E6" i="7"/>
  <c r="E7" i="6"/>
  <c r="E8" i="6"/>
  <c r="E9" i="6"/>
  <c r="E10" i="6"/>
  <c r="E11" i="6"/>
  <c r="E12" i="6"/>
  <c r="E13" i="6"/>
  <c r="E14" i="6"/>
  <c r="E15" i="6"/>
  <c r="E16" i="6"/>
  <c r="E17" i="6"/>
  <c r="E18" i="6"/>
  <c r="E19" i="6"/>
  <c r="E20" i="6"/>
  <c r="E21" i="6"/>
  <c r="E22" i="6"/>
  <c r="E23" i="6"/>
  <c r="E24" i="6"/>
  <c r="E25" i="6"/>
  <c r="E26" i="6"/>
  <c r="E27" i="6"/>
  <c r="E28" i="6"/>
  <c r="E29" i="6"/>
  <c r="E30" i="6"/>
  <c r="E31" i="6"/>
  <c r="I31" i="6" s="1"/>
  <c r="E32" i="6"/>
  <c r="E33" i="6"/>
  <c r="I33" i="6" s="1"/>
  <c r="E34" i="6"/>
  <c r="E35" i="6"/>
  <c r="I35" i="6" s="1"/>
  <c r="E36" i="6"/>
  <c r="E37" i="6"/>
  <c r="I37" i="6" s="1"/>
  <c r="E38" i="6"/>
  <c r="E39" i="6"/>
  <c r="E40" i="6"/>
  <c r="E41" i="6"/>
  <c r="E42" i="6"/>
  <c r="E43" i="6"/>
  <c r="I43" i="6" s="1"/>
  <c r="E44" i="6"/>
  <c r="E45" i="6"/>
  <c r="E46" i="6"/>
  <c r="E47" i="6"/>
  <c r="E48" i="6"/>
  <c r="I48" i="6" s="1"/>
  <c r="E49" i="6"/>
  <c r="E6" i="6"/>
  <c r="I27" i="6"/>
  <c r="E7" i="5"/>
  <c r="E8" i="5"/>
  <c r="E9" i="5"/>
  <c r="E10" i="5"/>
  <c r="E11" i="5"/>
  <c r="E12" i="5"/>
  <c r="E13" i="5"/>
  <c r="E14" i="5"/>
  <c r="E15" i="5"/>
  <c r="E16" i="5"/>
  <c r="E17" i="5"/>
  <c r="E18" i="5"/>
  <c r="E19" i="5"/>
  <c r="E20" i="5"/>
  <c r="E21" i="5"/>
  <c r="E22" i="5"/>
  <c r="E23" i="5"/>
  <c r="E24" i="5"/>
  <c r="E25" i="5"/>
  <c r="E26" i="5"/>
  <c r="E27" i="5"/>
  <c r="E28" i="5"/>
  <c r="E29" i="5"/>
  <c r="E30" i="5"/>
  <c r="E31" i="5"/>
  <c r="E32" i="5"/>
  <c r="E33" i="5"/>
  <c r="E34" i="5"/>
  <c r="E35" i="5"/>
  <c r="E36" i="5"/>
  <c r="E37" i="5"/>
  <c r="I37" i="5" s="1"/>
  <c r="E38" i="5"/>
  <c r="I38" i="5" s="1"/>
  <c r="E39" i="5"/>
  <c r="F39" i="5" s="1"/>
  <c r="G39" i="5" s="1"/>
  <c r="E40" i="5"/>
  <c r="I40" i="5" s="1"/>
  <c r="E41" i="5"/>
  <c r="I41" i="5" s="1"/>
  <c r="E42" i="5"/>
  <c r="E43" i="5"/>
  <c r="F43" i="5" s="1"/>
  <c r="G43" i="5" s="1"/>
  <c r="E44" i="5"/>
  <c r="I44" i="5" s="1"/>
  <c r="E45" i="5"/>
  <c r="I45" i="5" s="1"/>
  <c r="E46" i="5"/>
  <c r="E47" i="5"/>
  <c r="E48" i="5"/>
  <c r="F48" i="5" s="1"/>
  <c r="G48" i="5" s="1"/>
  <c r="E49" i="5"/>
  <c r="F49" i="5" s="1"/>
  <c r="G49" i="5" s="1"/>
  <c r="E6" i="5"/>
  <c r="F44" i="7" l="1"/>
  <c r="G46" i="6"/>
  <c r="J46" i="6" s="1"/>
  <c r="I33" i="7"/>
  <c r="H48" i="5"/>
  <c r="F48" i="7"/>
  <c r="G48" i="7" s="1"/>
  <c r="G48" i="6"/>
  <c r="J48" i="6" s="1"/>
  <c r="I41" i="7"/>
  <c r="I29" i="7"/>
  <c r="F36" i="7"/>
  <c r="G36" i="7" s="1"/>
  <c r="J36" i="7" s="1"/>
  <c r="E52" i="7"/>
  <c r="F40" i="5"/>
  <c r="G40" i="5" s="1"/>
  <c r="J40" i="5" s="1"/>
  <c r="I49" i="7"/>
  <c r="F45" i="7"/>
  <c r="G45" i="7" s="1"/>
  <c r="J45" i="7" s="1"/>
  <c r="I40" i="7"/>
  <c r="F28" i="7"/>
  <c r="G28" i="7" s="1"/>
  <c r="J28" i="7" s="1"/>
  <c r="J49" i="5"/>
  <c r="F44" i="5"/>
  <c r="G44" i="5" s="1"/>
  <c r="J44" i="5" s="1"/>
  <c r="F32" i="7"/>
  <c r="G32" i="7" s="1"/>
  <c r="J32" i="7" s="1"/>
  <c r="J48" i="5"/>
  <c r="I48" i="5"/>
  <c r="E52" i="5"/>
  <c r="H49" i="5"/>
  <c r="F49" i="7"/>
  <c r="G49" i="7" s="1"/>
  <c r="F47" i="7"/>
  <c r="G47" i="7" s="1"/>
  <c r="I37" i="7"/>
  <c r="G44" i="7"/>
  <c r="J44" i="7" s="1"/>
  <c r="I42" i="7"/>
  <c r="D37" i="5"/>
  <c r="E52" i="6"/>
  <c r="I46" i="5"/>
  <c r="I38" i="7"/>
  <c r="I47" i="5"/>
  <c r="I43" i="5"/>
  <c r="F46" i="7"/>
  <c r="G46" i="7" s="1"/>
  <c r="I34" i="7"/>
  <c r="I30" i="7"/>
  <c r="I39" i="5"/>
  <c r="I26" i="7"/>
  <c r="I49" i="5"/>
  <c r="F47" i="5"/>
  <c r="G47" i="5" s="1"/>
  <c r="H47" i="5" s="1"/>
  <c r="I47" i="6"/>
  <c r="D26" i="7"/>
  <c r="G43" i="7"/>
  <c r="J43" i="7" s="1"/>
  <c r="J40" i="7"/>
  <c r="H40" i="7"/>
  <c r="J41" i="7"/>
  <c r="H41" i="7"/>
  <c r="J37" i="7"/>
  <c r="H37" i="7"/>
  <c r="J33" i="7"/>
  <c r="H33" i="7"/>
  <c r="J29" i="7"/>
  <c r="H29" i="7"/>
  <c r="I39" i="7"/>
  <c r="I35" i="7"/>
  <c r="I31" i="7"/>
  <c r="I27" i="7"/>
  <c r="I47" i="7"/>
  <c r="I43" i="7"/>
  <c r="G42" i="7"/>
  <c r="G39" i="7"/>
  <c r="G38" i="7"/>
  <c r="G35" i="7"/>
  <c r="G34" i="7"/>
  <c r="G31" i="7"/>
  <c r="G30" i="7"/>
  <c r="G27" i="7"/>
  <c r="G26" i="7"/>
  <c r="J26" i="7" s="1"/>
  <c r="D49" i="7"/>
  <c r="D48" i="7"/>
  <c r="D47" i="7"/>
  <c r="D46" i="7"/>
  <c r="D45" i="7"/>
  <c r="D44" i="7"/>
  <c r="D43" i="7"/>
  <c r="D42" i="7"/>
  <c r="D41" i="7"/>
  <c r="D40" i="7"/>
  <c r="D39" i="7"/>
  <c r="D38" i="7"/>
  <c r="D37" i="7"/>
  <c r="D36" i="7"/>
  <c r="D35" i="7"/>
  <c r="D34" i="7"/>
  <c r="D33" i="7"/>
  <c r="D32" i="7"/>
  <c r="D31" i="7"/>
  <c r="D30" i="7"/>
  <c r="D29" i="7"/>
  <c r="D28" i="7"/>
  <c r="D27" i="7"/>
  <c r="I45" i="6"/>
  <c r="I42" i="6"/>
  <c r="I40" i="6"/>
  <c r="I38" i="6"/>
  <c r="I34" i="6"/>
  <c r="I30" i="6"/>
  <c r="I28" i="6"/>
  <c r="D49" i="6"/>
  <c r="D48" i="6"/>
  <c r="D47" i="6"/>
  <c r="D46" i="6"/>
  <c r="D45" i="6"/>
  <c r="D44" i="6"/>
  <c r="D43" i="6"/>
  <c r="D42" i="6"/>
  <c r="D41" i="6"/>
  <c r="D40" i="6"/>
  <c r="D39" i="6"/>
  <c r="D38" i="6"/>
  <c r="D37" i="6"/>
  <c r="D36" i="6"/>
  <c r="D35" i="6"/>
  <c r="D34" i="6"/>
  <c r="D33" i="6"/>
  <c r="D31" i="6"/>
  <c r="D30" i="6"/>
  <c r="D29" i="6"/>
  <c r="D28" i="6"/>
  <c r="D27" i="6"/>
  <c r="F49" i="6"/>
  <c r="G49" i="6" s="1"/>
  <c r="J49" i="6" s="1"/>
  <c r="F48" i="6"/>
  <c r="F47" i="6"/>
  <c r="G47" i="6" s="1"/>
  <c r="F46" i="6"/>
  <c r="F45" i="6"/>
  <c r="G45" i="6" s="1"/>
  <c r="F44" i="6"/>
  <c r="G44" i="6" s="1"/>
  <c r="F43" i="6"/>
  <c r="G43" i="6" s="1"/>
  <c r="F42" i="6"/>
  <c r="G42" i="6" s="1"/>
  <c r="F41" i="6"/>
  <c r="G41" i="6" s="1"/>
  <c r="F40" i="6"/>
  <c r="G40" i="6" s="1"/>
  <c r="F39" i="6"/>
  <c r="G39" i="6" s="1"/>
  <c r="F38" i="6"/>
  <c r="G38" i="6" s="1"/>
  <c r="F37" i="6"/>
  <c r="G37" i="6" s="1"/>
  <c r="F36" i="6"/>
  <c r="G36" i="6" s="1"/>
  <c r="F35" i="6"/>
  <c r="G35" i="6" s="1"/>
  <c r="F34" i="6"/>
  <c r="G34" i="6" s="1"/>
  <c r="F33" i="6"/>
  <c r="G33" i="6" s="1"/>
  <c r="F32" i="6"/>
  <c r="G32" i="6" s="1"/>
  <c r="F31" i="6"/>
  <c r="G31" i="6" s="1"/>
  <c r="F30" i="6"/>
  <c r="G30" i="6" s="1"/>
  <c r="F29" i="6"/>
  <c r="G29" i="6" s="1"/>
  <c r="F28" i="6"/>
  <c r="G28" i="6" s="1"/>
  <c r="F27" i="6"/>
  <c r="G27" i="6" s="1"/>
  <c r="F26" i="6"/>
  <c r="G26" i="6" s="1"/>
  <c r="I49" i="6"/>
  <c r="I46" i="6"/>
  <c r="I44" i="6"/>
  <c r="I41" i="6"/>
  <c r="I39" i="6"/>
  <c r="I36" i="6"/>
  <c r="I32" i="6"/>
  <c r="I29" i="6"/>
  <c r="I26" i="6"/>
  <c r="H49" i="6"/>
  <c r="H46" i="6"/>
  <c r="D32" i="6"/>
  <c r="D26" i="6"/>
  <c r="J43" i="5"/>
  <c r="H43" i="5"/>
  <c r="J39" i="5"/>
  <c r="H39" i="5"/>
  <c r="J47" i="5"/>
  <c r="F46" i="5"/>
  <c r="G46" i="5" s="1"/>
  <c r="J46" i="5" s="1"/>
  <c r="F45" i="5"/>
  <c r="G45" i="5" s="1"/>
  <c r="J45" i="5" s="1"/>
  <c r="F42" i="5"/>
  <c r="G42" i="5" s="1"/>
  <c r="J42" i="5" s="1"/>
  <c r="F41" i="5"/>
  <c r="G41" i="5" s="1"/>
  <c r="J41" i="5" s="1"/>
  <c r="F38" i="5"/>
  <c r="G38" i="5" s="1"/>
  <c r="J38" i="5" s="1"/>
  <c r="F37" i="5"/>
  <c r="G37" i="5" s="1"/>
  <c r="J37" i="5" s="1"/>
  <c r="I42" i="5"/>
  <c r="H44" i="5"/>
  <c r="D49" i="5"/>
  <c r="D48" i="5"/>
  <c r="D47" i="5"/>
  <c r="D46" i="5"/>
  <c r="D45" i="5"/>
  <c r="D44" i="5"/>
  <c r="D43" i="5"/>
  <c r="D42" i="5"/>
  <c r="D41" i="5"/>
  <c r="D40" i="5"/>
  <c r="D39" i="5"/>
  <c r="D38" i="5"/>
  <c r="J48" i="7" l="1"/>
  <c r="H48" i="7"/>
  <c r="H46" i="5"/>
  <c r="H43" i="7"/>
  <c r="H32" i="7"/>
  <c r="H46" i="7"/>
  <c r="J46" i="7"/>
  <c r="H47" i="6"/>
  <c r="J47" i="6"/>
  <c r="H49" i="7"/>
  <c r="J49" i="7"/>
  <c r="H47" i="7"/>
  <c r="J47" i="7"/>
  <c r="H48" i="6"/>
  <c r="H45" i="7"/>
  <c r="H40" i="5"/>
  <c r="H28" i="7"/>
  <c r="H44" i="7"/>
  <c r="C41" i="5"/>
  <c r="C45" i="5"/>
  <c r="C49" i="5"/>
  <c r="C31" i="7"/>
  <c r="C35" i="7"/>
  <c r="C39" i="7"/>
  <c r="C43" i="7"/>
  <c r="C47" i="7"/>
  <c r="H36" i="7"/>
  <c r="C30" i="7"/>
  <c r="C34" i="7"/>
  <c r="C38" i="7"/>
  <c r="C42" i="7"/>
  <c r="C46" i="7"/>
  <c r="H37" i="5"/>
  <c r="C29" i="6"/>
  <c r="C34" i="6"/>
  <c r="C38" i="6"/>
  <c r="C42" i="6"/>
  <c r="C46" i="6"/>
  <c r="C28" i="7"/>
  <c r="C32" i="7"/>
  <c r="C36" i="7"/>
  <c r="C40" i="7"/>
  <c r="C44" i="7"/>
  <c r="C48" i="7"/>
  <c r="H26" i="7"/>
  <c r="J31" i="7"/>
  <c r="H31" i="7"/>
  <c r="J39" i="7"/>
  <c r="H39" i="7"/>
  <c r="J34" i="7"/>
  <c r="H34" i="7"/>
  <c r="J42" i="7"/>
  <c r="H42" i="7"/>
  <c r="J27" i="7"/>
  <c r="H27" i="7"/>
  <c r="J35" i="7"/>
  <c r="H35" i="7"/>
  <c r="J30" i="7"/>
  <c r="H30" i="7"/>
  <c r="J38" i="7"/>
  <c r="H38" i="7"/>
  <c r="C29" i="7"/>
  <c r="C33" i="7"/>
  <c r="C37" i="7"/>
  <c r="C41" i="7"/>
  <c r="C45" i="7"/>
  <c r="C49" i="7"/>
  <c r="C27" i="7"/>
  <c r="C33" i="6"/>
  <c r="C31" i="6"/>
  <c r="C36" i="6"/>
  <c r="C40" i="6"/>
  <c r="C44" i="6"/>
  <c r="C48" i="6"/>
  <c r="J32" i="6"/>
  <c r="H32" i="6"/>
  <c r="J40" i="6"/>
  <c r="H40" i="6"/>
  <c r="H29" i="6"/>
  <c r="J29" i="6"/>
  <c r="J37" i="6"/>
  <c r="H37" i="6"/>
  <c r="J41" i="6"/>
  <c r="H41" i="6"/>
  <c r="J27" i="6"/>
  <c r="H27" i="6"/>
  <c r="J31" i="6"/>
  <c r="H31" i="6"/>
  <c r="H35" i="6"/>
  <c r="J35" i="6"/>
  <c r="H39" i="6"/>
  <c r="J39" i="6"/>
  <c r="H43" i="6"/>
  <c r="J43" i="6"/>
  <c r="J28" i="6"/>
  <c r="H28" i="6"/>
  <c r="J36" i="6"/>
  <c r="H36" i="6"/>
  <c r="J44" i="6"/>
  <c r="H44" i="6"/>
  <c r="J33" i="6"/>
  <c r="H33" i="6"/>
  <c r="J45" i="6"/>
  <c r="H45" i="6"/>
  <c r="J26" i="6"/>
  <c r="H26" i="6"/>
  <c r="J30" i="6"/>
  <c r="H30" i="6"/>
  <c r="J34" i="6"/>
  <c r="H34" i="6"/>
  <c r="J38" i="6"/>
  <c r="H38" i="6"/>
  <c r="J42" i="6"/>
  <c r="H42" i="6"/>
  <c r="C27" i="6"/>
  <c r="C30" i="6"/>
  <c r="C35" i="6"/>
  <c r="C39" i="6"/>
  <c r="C43" i="6"/>
  <c r="C47" i="6"/>
  <c r="C28" i="6"/>
  <c r="C32" i="6"/>
  <c r="C37" i="6"/>
  <c r="C41" i="6"/>
  <c r="C45" i="6"/>
  <c r="C49" i="6"/>
  <c r="H41" i="5"/>
  <c r="C40" i="5"/>
  <c r="C44" i="5"/>
  <c r="C48" i="5"/>
  <c r="H45" i="5"/>
  <c r="H38" i="5"/>
  <c r="C42" i="5"/>
  <c r="C46" i="5"/>
  <c r="H42" i="5"/>
  <c r="C39" i="5"/>
  <c r="C43" i="5"/>
  <c r="C47" i="5"/>
  <c r="C38" i="5"/>
  <c r="F25" i="5"/>
  <c r="G25" i="5" s="1"/>
  <c r="J25" i="5" s="1"/>
  <c r="I25" i="5"/>
  <c r="I26" i="5"/>
  <c r="I27" i="5"/>
  <c r="F27" i="5"/>
  <c r="G27" i="5" s="1"/>
  <c r="J27" i="5" s="1"/>
  <c r="I28" i="5"/>
  <c r="F29" i="5"/>
  <c r="G29" i="5" s="1"/>
  <c r="J29" i="5" s="1"/>
  <c r="I31" i="5"/>
  <c r="I32" i="5"/>
  <c r="F33" i="5"/>
  <c r="G33" i="5" s="1"/>
  <c r="J33" i="5" s="1"/>
  <c r="I16" i="5"/>
  <c r="F32" i="5" l="1"/>
  <c r="G32" i="5" s="1"/>
  <c r="J32" i="5" s="1"/>
  <c r="F28" i="5"/>
  <c r="G28" i="5" s="1"/>
  <c r="J28" i="5" s="1"/>
  <c r="I29" i="5"/>
  <c r="I33" i="5"/>
  <c r="F31" i="5"/>
  <c r="G31" i="5" s="1"/>
  <c r="J31" i="5" s="1"/>
  <c r="I36" i="5"/>
  <c r="I35" i="5"/>
  <c r="I34" i="5"/>
  <c r="I30" i="5"/>
  <c r="F36" i="5"/>
  <c r="G36" i="5" s="1"/>
  <c r="H36" i="5" s="1"/>
  <c r="F35" i="5"/>
  <c r="G35" i="5" s="1"/>
  <c r="H35" i="5" s="1"/>
  <c r="F34" i="5"/>
  <c r="G34" i="5" s="1"/>
  <c r="H34" i="5" s="1"/>
  <c r="F30" i="5"/>
  <c r="G30" i="5" s="1"/>
  <c r="J30" i="5" s="1"/>
  <c r="F26" i="5"/>
  <c r="G26" i="5" s="1"/>
  <c r="J26" i="5" s="1"/>
  <c r="D25" i="5"/>
  <c r="H27" i="5"/>
  <c r="H33" i="5"/>
  <c r="H29" i="5"/>
  <c r="D36" i="5"/>
  <c r="C37" i="5" s="1"/>
  <c r="D35" i="5"/>
  <c r="D34" i="5"/>
  <c r="D33" i="5"/>
  <c r="D32" i="5"/>
  <c r="D31" i="5"/>
  <c r="D30" i="5"/>
  <c r="D29" i="5"/>
  <c r="D28" i="5"/>
  <c r="D27" i="5"/>
  <c r="D26" i="5"/>
  <c r="H25" i="5"/>
  <c r="D17" i="5"/>
  <c r="I24" i="5"/>
  <c r="I23" i="5"/>
  <c r="I22" i="5"/>
  <c r="I21" i="5"/>
  <c r="I20" i="5"/>
  <c r="I19" i="5"/>
  <c r="I18" i="5"/>
  <c r="I17" i="5"/>
  <c r="F24" i="5"/>
  <c r="G24" i="5" s="1"/>
  <c r="J24" i="5" s="1"/>
  <c r="F23" i="5"/>
  <c r="G23" i="5" s="1"/>
  <c r="J23" i="5" s="1"/>
  <c r="F22" i="5"/>
  <c r="G22" i="5" s="1"/>
  <c r="J22" i="5" s="1"/>
  <c r="F21" i="5"/>
  <c r="G21" i="5" s="1"/>
  <c r="J21" i="5" s="1"/>
  <c r="F20" i="5"/>
  <c r="G20" i="5" s="1"/>
  <c r="J20" i="5" s="1"/>
  <c r="F19" i="5"/>
  <c r="G19" i="5" s="1"/>
  <c r="J19" i="5" s="1"/>
  <c r="F18" i="5"/>
  <c r="G18" i="5" s="1"/>
  <c r="H18" i="5" s="1"/>
  <c r="F17" i="5"/>
  <c r="G17" i="5" s="1"/>
  <c r="J17" i="5" s="1"/>
  <c r="D24" i="5"/>
  <c r="D23" i="5"/>
  <c r="D22" i="5"/>
  <c r="D21" i="5"/>
  <c r="D20" i="5"/>
  <c r="D19" i="5"/>
  <c r="D18" i="5"/>
  <c r="F16" i="5"/>
  <c r="G16" i="5" s="1"/>
  <c r="J16" i="5" s="1"/>
  <c r="C4" i="7"/>
  <c r="H17" i="5" l="1"/>
  <c r="H28" i="5"/>
  <c r="H32" i="5"/>
  <c r="C30" i="5"/>
  <c r="C26" i="5"/>
  <c r="H31" i="5"/>
  <c r="C27" i="5"/>
  <c r="C31" i="5"/>
  <c r="J35" i="5"/>
  <c r="C25" i="5"/>
  <c r="J34" i="5"/>
  <c r="J36" i="5"/>
  <c r="C34" i="5"/>
  <c r="C35" i="5"/>
  <c r="H23" i="5"/>
  <c r="H21" i="5"/>
  <c r="C28" i="5"/>
  <c r="C32" i="5"/>
  <c r="C36" i="5"/>
  <c r="H26" i="5"/>
  <c r="H30" i="5"/>
  <c r="C29" i="5"/>
  <c r="C33" i="5"/>
  <c r="J18" i="5"/>
  <c r="H22" i="5"/>
  <c r="H19" i="5"/>
  <c r="H24" i="5"/>
  <c r="H20" i="5"/>
  <c r="H16" i="5"/>
  <c r="C19" i="5"/>
  <c r="C23" i="5"/>
  <c r="C21" i="5"/>
  <c r="C22" i="5"/>
  <c r="C18" i="5"/>
  <c r="C20" i="5"/>
  <c r="C24" i="5"/>
  <c r="L25" i="13"/>
  <c r="I22" i="13"/>
  <c r="F22" i="13"/>
  <c r="C22" i="13"/>
  <c r="I18" i="2" l="1"/>
  <c r="C7" i="7"/>
  <c r="D6" i="7"/>
  <c r="C6" i="7"/>
  <c r="C7" i="6"/>
  <c r="D6" i="6"/>
  <c r="C6" i="6"/>
  <c r="D16" i="5"/>
  <c r="C17" i="5" s="1"/>
  <c r="B17" i="3"/>
  <c r="C7" i="5"/>
  <c r="C6" i="5"/>
  <c r="D6" i="5"/>
  <c r="N8" i="2"/>
  <c r="K8" i="2"/>
  <c r="D13" i="6" l="1"/>
  <c r="D15" i="7"/>
  <c r="D11" i="7"/>
  <c r="D24" i="6"/>
  <c r="D20" i="6"/>
  <c r="D16" i="6"/>
  <c r="D12" i="6"/>
  <c r="D25" i="6"/>
  <c r="C26" i="6" s="1"/>
  <c r="D21" i="6"/>
  <c r="D18" i="7"/>
  <c r="D14" i="7"/>
  <c r="D10" i="7"/>
  <c r="D8" i="6"/>
  <c r="D19" i="6"/>
  <c r="D15" i="6"/>
  <c r="D11" i="6"/>
  <c r="D25" i="7"/>
  <c r="C26" i="7" s="1"/>
  <c r="D21" i="7"/>
  <c r="D22" i="6"/>
  <c r="D17" i="7"/>
  <c r="D9" i="7"/>
  <c r="D18" i="6"/>
  <c r="C19" i="6" s="1"/>
  <c r="D10" i="6"/>
  <c r="D23" i="7"/>
  <c r="D13" i="7"/>
  <c r="D14" i="6"/>
  <c r="D17" i="6"/>
  <c r="D20" i="7"/>
  <c r="D9" i="6"/>
  <c r="D8" i="7"/>
  <c r="D12" i="7"/>
  <c r="D16" i="7"/>
  <c r="D7" i="6"/>
  <c r="D7" i="7"/>
  <c r="C8" i="7" s="1"/>
  <c r="D23" i="6"/>
  <c r="D19" i="7"/>
  <c r="C20" i="7" s="1"/>
  <c r="D22" i="7"/>
  <c r="D24" i="7"/>
  <c r="D11" i="5"/>
  <c r="H42" i="2"/>
  <c r="C21" i="6" l="1"/>
  <c r="C13" i="6"/>
  <c r="C14" i="6"/>
  <c r="C15" i="7"/>
  <c r="C16" i="6"/>
  <c r="C16" i="7"/>
  <c r="C18" i="7"/>
  <c r="C12" i="6"/>
  <c r="C11" i="7"/>
  <c r="C25" i="6"/>
  <c r="C25" i="7"/>
  <c r="C24" i="6"/>
  <c r="C22" i="6"/>
  <c r="C20" i="6"/>
  <c r="C11" i="6"/>
  <c r="C21" i="7"/>
  <c r="C13" i="7"/>
  <c r="C10" i="7"/>
  <c r="C19" i="7"/>
  <c r="C8" i="6"/>
  <c r="C9" i="6"/>
  <c r="C15" i="6"/>
  <c r="C14" i="7"/>
  <c r="C9" i="7"/>
  <c r="C18" i="6"/>
  <c r="C23" i="6"/>
  <c r="C17" i="6"/>
  <c r="C17" i="7"/>
  <c r="C10" i="6"/>
  <c r="C12" i="7"/>
  <c r="C24" i="7"/>
  <c r="C23" i="7"/>
  <c r="C22" i="7"/>
  <c r="C15" i="3"/>
  <c r="D7" i="5"/>
  <c r="D10" i="5"/>
  <c r="C11" i="5" s="1"/>
  <c r="I21" i="13"/>
  <c r="I20" i="13"/>
  <c r="I19" i="13"/>
  <c r="I18" i="13"/>
  <c r="I17" i="13"/>
  <c r="I16" i="13"/>
  <c r="I15" i="13"/>
  <c r="I14" i="13"/>
  <c r="F21" i="13"/>
  <c r="F20" i="13"/>
  <c r="F19" i="13"/>
  <c r="F18" i="13"/>
  <c r="F17" i="13"/>
  <c r="F16" i="13"/>
  <c r="F15" i="13"/>
  <c r="F14" i="13"/>
  <c r="C13" i="13"/>
  <c r="D18" i="13" s="1"/>
  <c r="F10" i="13"/>
  <c r="I13" i="13"/>
  <c r="J18" i="13" s="1"/>
  <c r="F13" i="13"/>
  <c r="G18" i="13" s="1"/>
  <c r="G6" i="3"/>
  <c r="D19" i="13" s="1"/>
  <c r="J6" i="3"/>
  <c r="G19" i="13" s="1"/>
  <c r="M6" i="3"/>
  <c r="M7" i="3" s="1"/>
  <c r="F8" i="3"/>
  <c r="I8" i="3"/>
  <c r="L8" i="3"/>
  <c r="F9" i="3"/>
  <c r="I9" i="3"/>
  <c r="L9" i="3"/>
  <c r="Q8" i="2"/>
  <c r="H29" i="2"/>
  <c r="H28" i="2"/>
  <c r="C52" i="7" l="1"/>
  <c r="C52" i="6"/>
  <c r="D15" i="5"/>
  <c r="C16" i="5" s="1"/>
  <c r="D9" i="5"/>
  <c r="C10" i="5" s="1"/>
  <c r="D14" i="5"/>
  <c r="D13" i="5"/>
  <c r="D12" i="5"/>
  <c r="D8" i="5"/>
  <c r="G16" i="13"/>
  <c r="G17" i="13"/>
  <c r="J17" i="13"/>
  <c r="D17" i="13"/>
  <c r="L13" i="8"/>
  <c r="M22" i="13" s="1"/>
  <c r="J7" i="3"/>
  <c r="G7" i="3"/>
  <c r="D14" i="13"/>
  <c r="J14" i="13"/>
  <c r="G15" i="13"/>
  <c r="D16" i="13"/>
  <c r="J16" i="13"/>
  <c r="J19" i="13"/>
  <c r="G14" i="13"/>
  <c r="D15" i="13"/>
  <c r="J15" i="13"/>
  <c r="C2" i="3"/>
  <c r="C11" i="3"/>
  <c r="B18" i="3"/>
  <c r="C14" i="5" l="1"/>
  <c r="C9" i="5"/>
  <c r="C15" i="5"/>
  <c r="C8" i="5"/>
  <c r="C13" i="5"/>
  <c r="C12" i="5"/>
  <c r="C3" i="3"/>
  <c r="L2" i="8" s="1"/>
  <c r="M11" i="13" s="1"/>
  <c r="H24" i="2"/>
  <c r="I4" i="8"/>
  <c r="F4" i="8"/>
  <c r="C4" i="8"/>
  <c r="I3" i="8"/>
  <c r="F3" i="8"/>
  <c r="C3" i="8"/>
  <c r="I2" i="8"/>
  <c r="F2" i="8"/>
  <c r="C2" i="8"/>
  <c r="B11" i="8"/>
  <c r="I5" i="8"/>
  <c r="F5" i="8"/>
  <c r="C5" i="8"/>
  <c r="I8" i="8"/>
  <c r="F8" i="8"/>
  <c r="C8" i="8"/>
  <c r="F6" i="8"/>
  <c r="C6" i="8"/>
  <c r="H12" i="8"/>
  <c r="H11" i="8"/>
  <c r="E12" i="8"/>
  <c r="E11" i="8"/>
  <c r="F17" i="7"/>
  <c r="F15" i="7"/>
  <c r="F13" i="7"/>
  <c r="F11" i="7"/>
  <c r="G11" i="7" s="1"/>
  <c r="F9" i="7"/>
  <c r="G9" i="7" s="1"/>
  <c r="F7" i="7"/>
  <c r="C4" i="6"/>
  <c r="B12" i="8"/>
  <c r="E60" i="7"/>
  <c r="L11" i="3" s="1"/>
  <c r="E59" i="5"/>
  <c r="F10" i="3" s="1"/>
  <c r="E59" i="7"/>
  <c r="L10" i="3" s="1"/>
  <c r="E60" i="6"/>
  <c r="I11" i="3" s="1"/>
  <c r="E59" i="6"/>
  <c r="I10" i="3" s="1"/>
  <c r="E60" i="5"/>
  <c r="F11" i="3" s="1"/>
  <c r="F9" i="5"/>
  <c r="G9" i="5" s="1"/>
  <c r="F8" i="7"/>
  <c r="G8" i="7" s="1"/>
  <c r="F10" i="7"/>
  <c r="G10" i="7" s="1"/>
  <c r="F12" i="7"/>
  <c r="F14" i="7"/>
  <c r="F16" i="7"/>
  <c r="F18" i="7"/>
  <c r="F19" i="7"/>
  <c r="F20" i="7"/>
  <c r="F21" i="7"/>
  <c r="F22" i="7"/>
  <c r="F23" i="7"/>
  <c r="F24" i="7"/>
  <c r="F25" i="7"/>
  <c r="C4" i="5"/>
  <c r="F11" i="6"/>
  <c r="G11" i="6" s="1"/>
  <c r="J11" i="6" s="1"/>
  <c r="F10" i="6"/>
  <c r="G10" i="6" s="1"/>
  <c r="J10" i="6" s="1"/>
  <c r="F9" i="6"/>
  <c r="G9" i="6" s="1"/>
  <c r="J9" i="6" s="1"/>
  <c r="F8" i="6"/>
  <c r="G8" i="6" s="1"/>
  <c r="J8" i="6" s="1"/>
  <c r="F7" i="6"/>
  <c r="G7" i="6" s="1"/>
  <c r="J7" i="6" s="1"/>
  <c r="F15" i="5"/>
  <c r="G15" i="5" s="1"/>
  <c r="F14" i="5"/>
  <c r="G14" i="5" s="1"/>
  <c r="F13" i="5"/>
  <c r="G13" i="5" s="1"/>
  <c r="F12" i="5"/>
  <c r="G12" i="5" s="1"/>
  <c r="F11" i="5"/>
  <c r="G11" i="5" s="1"/>
  <c r="F10" i="5"/>
  <c r="G10" i="5" s="1"/>
  <c r="F8" i="5"/>
  <c r="F7" i="5"/>
  <c r="G7" i="5" s="1"/>
  <c r="C52" i="5" l="1"/>
  <c r="G8" i="5"/>
  <c r="J8" i="5" s="1"/>
  <c r="F6" i="6"/>
  <c r="F6" i="5"/>
  <c r="F52" i="5" s="1"/>
  <c r="F6" i="7"/>
  <c r="C6" i="3"/>
  <c r="L6" i="8" s="1"/>
  <c r="M15" i="13" s="1"/>
  <c r="I7" i="8"/>
  <c r="I6" i="8"/>
  <c r="L14" i="8"/>
  <c r="M23" i="13" s="1"/>
  <c r="I16" i="7"/>
  <c r="I13" i="7"/>
  <c r="I7" i="7"/>
  <c r="G16" i="7"/>
  <c r="J16" i="7" s="1"/>
  <c r="I6" i="7"/>
  <c r="G13" i="7"/>
  <c r="H13" i="7" s="1"/>
  <c r="I12" i="7"/>
  <c r="I11" i="7"/>
  <c r="I10" i="7"/>
  <c r="I9" i="7"/>
  <c r="I8" i="7"/>
  <c r="G7" i="7"/>
  <c r="J7" i="7" s="1"/>
  <c r="I24" i="7"/>
  <c r="G24" i="7"/>
  <c r="J24" i="7" s="1"/>
  <c r="I22" i="7"/>
  <c r="G22" i="7"/>
  <c r="J22" i="7" s="1"/>
  <c r="I20" i="7"/>
  <c r="G20" i="7"/>
  <c r="J20" i="7" s="1"/>
  <c r="I18" i="7"/>
  <c r="G18" i="7"/>
  <c r="J18" i="7" s="1"/>
  <c r="I15" i="7"/>
  <c r="G15" i="7"/>
  <c r="H15" i="7" s="1"/>
  <c r="I25" i="7"/>
  <c r="G25" i="7"/>
  <c r="J25" i="7" s="1"/>
  <c r="I23" i="7"/>
  <c r="G23" i="7"/>
  <c r="J23" i="7" s="1"/>
  <c r="I21" i="7"/>
  <c r="G21" i="7"/>
  <c r="J21" i="7" s="1"/>
  <c r="I19" i="7"/>
  <c r="G19" i="7"/>
  <c r="J19" i="7" s="1"/>
  <c r="I17" i="7"/>
  <c r="G17" i="7"/>
  <c r="J17" i="7" s="1"/>
  <c r="I14" i="7"/>
  <c r="G14" i="7"/>
  <c r="H14" i="7" s="1"/>
  <c r="G12" i="7"/>
  <c r="H12" i="7" s="1"/>
  <c r="J11" i="7"/>
  <c r="H11" i="7"/>
  <c r="J10" i="7"/>
  <c r="H10" i="7"/>
  <c r="J9" i="7"/>
  <c r="H9" i="7"/>
  <c r="J8" i="7"/>
  <c r="H8" i="7"/>
  <c r="I7" i="6"/>
  <c r="I9" i="6"/>
  <c r="I11" i="6"/>
  <c r="I6" i="6"/>
  <c r="I8" i="6"/>
  <c r="I10" i="6"/>
  <c r="H7" i="6"/>
  <c r="H8" i="6"/>
  <c r="H9" i="6"/>
  <c r="H10" i="6"/>
  <c r="H11" i="6"/>
  <c r="H7" i="5"/>
  <c r="H9" i="5"/>
  <c r="H11" i="5"/>
  <c r="H13" i="5"/>
  <c r="H15" i="5"/>
  <c r="H10" i="5"/>
  <c r="H12" i="5"/>
  <c r="H14" i="5"/>
  <c r="I7" i="5"/>
  <c r="I9" i="5"/>
  <c r="I11" i="5"/>
  <c r="I13" i="5"/>
  <c r="I15" i="5"/>
  <c r="J7" i="5"/>
  <c r="J9" i="5"/>
  <c r="J11" i="5"/>
  <c r="J13" i="5"/>
  <c r="J15" i="5"/>
  <c r="I6" i="5"/>
  <c r="I8" i="5"/>
  <c r="I10" i="5"/>
  <c r="I12" i="5"/>
  <c r="I14" i="5"/>
  <c r="J10" i="5"/>
  <c r="J12" i="5"/>
  <c r="J14" i="5"/>
  <c r="I52" i="5" l="1"/>
  <c r="I52" i="7"/>
  <c r="G6" i="7"/>
  <c r="H6" i="7" s="1"/>
  <c r="F52" i="7"/>
  <c r="G6" i="6"/>
  <c r="J6" i="6" s="1"/>
  <c r="G6" i="5"/>
  <c r="H16" i="7"/>
  <c r="H8" i="5"/>
  <c r="H22" i="7"/>
  <c r="H7" i="7"/>
  <c r="J13" i="7"/>
  <c r="J15" i="7"/>
  <c r="H18" i="7"/>
  <c r="H24" i="7"/>
  <c r="H20" i="7"/>
  <c r="H19" i="7"/>
  <c r="H21" i="7"/>
  <c r="H23" i="7"/>
  <c r="H25" i="7"/>
  <c r="J14" i="7"/>
  <c r="J12" i="7"/>
  <c r="H17" i="7"/>
  <c r="L7" i="8"/>
  <c r="M16" i="13" s="1"/>
  <c r="L3" i="8"/>
  <c r="M12" i="13" s="1"/>
  <c r="J6" i="5" l="1"/>
  <c r="J52" i="5" s="1"/>
  <c r="G52" i="5"/>
  <c r="H52" i="7"/>
  <c r="J6" i="7"/>
  <c r="J52" i="7" s="1"/>
  <c r="G52" i="7"/>
  <c r="H6" i="6"/>
  <c r="H6" i="5"/>
  <c r="H52" i="5" s="1"/>
  <c r="F55" i="7" l="1"/>
  <c r="F56" i="7" s="1"/>
  <c r="F58" i="7" s="1"/>
  <c r="F25" i="6"/>
  <c r="G25" i="6" s="1"/>
  <c r="H25" i="6" s="1"/>
  <c r="I25" i="6"/>
  <c r="F12" i="6"/>
  <c r="I12" i="6"/>
  <c r="F57" i="7" l="1"/>
  <c r="M8" i="3" s="1"/>
  <c r="J20" i="13" s="1"/>
  <c r="G12" i="6"/>
  <c r="J25" i="6"/>
  <c r="M9" i="3"/>
  <c r="J21" i="13" s="1"/>
  <c r="F59" i="7"/>
  <c r="I9" i="8"/>
  <c r="J12" i="6"/>
  <c r="I10" i="8"/>
  <c r="F13" i="6"/>
  <c r="G13" i="6" s="1"/>
  <c r="J13" i="6" s="1"/>
  <c r="I13" i="6"/>
  <c r="H12" i="6" l="1"/>
  <c r="F60" i="7"/>
  <c r="M11" i="3" s="1"/>
  <c r="J22" i="13" s="1"/>
  <c r="M10" i="3"/>
  <c r="I11" i="8"/>
  <c r="H13" i="6"/>
  <c r="F14" i="6"/>
  <c r="G14" i="6" s="1"/>
  <c r="H14" i="6" s="1"/>
  <c r="I14" i="6"/>
  <c r="I12" i="8" l="1"/>
  <c r="J14" i="6"/>
  <c r="F15" i="6"/>
  <c r="G15" i="6" s="1"/>
  <c r="I15" i="6"/>
  <c r="J15" i="6" l="1"/>
  <c r="H15" i="6"/>
  <c r="F16" i="6"/>
  <c r="G16" i="6" s="1"/>
  <c r="H16" i="6" s="1"/>
  <c r="I16" i="6"/>
  <c r="J16" i="6" l="1"/>
  <c r="F17" i="6"/>
  <c r="I17" i="6"/>
  <c r="G17" i="6" l="1"/>
  <c r="H17" i="6" s="1"/>
  <c r="F18" i="6"/>
  <c r="G18" i="6" s="1"/>
  <c r="H18" i="6" s="1"/>
  <c r="I18" i="6"/>
  <c r="J17" i="6" l="1"/>
  <c r="J18" i="6"/>
  <c r="F19" i="6"/>
  <c r="G19" i="6" s="1"/>
  <c r="J19" i="6" s="1"/>
  <c r="I19" i="6"/>
  <c r="H19" i="6" l="1"/>
  <c r="F20" i="6"/>
  <c r="G20" i="6" s="1"/>
  <c r="H20" i="6" s="1"/>
  <c r="I20" i="6"/>
  <c r="J20" i="6" l="1"/>
  <c r="F21" i="6"/>
  <c r="G21" i="6" s="1"/>
  <c r="J21" i="6" s="1"/>
  <c r="I21" i="6"/>
  <c r="H21" i="6" l="1"/>
  <c r="F22" i="6"/>
  <c r="G22" i="6" s="1"/>
  <c r="H22" i="6" s="1"/>
  <c r="I22" i="6"/>
  <c r="J22" i="6" l="1"/>
  <c r="F23" i="6"/>
  <c r="G23" i="6" s="1"/>
  <c r="J23" i="6" s="1"/>
  <c r="I23" i="6"/>
  <c r="F7" i="8" l="1"/>
  <c r="H23" i="6"/>
  <c r="F24" i="6"/>
  <c r="F52" i="6" s="1"/>
  <c r="I24" i="6"/>
  <c r="I52" i="6" s="1"/>
  <c r="G24" i="6" l="1"/>
  <c r="G52" i="6" s="1"/>
  <c r="H24" i="6" l="1"/>
  <c r="H52" i="6" s="1"/>
  <c r="J24" i="6"/>
  <c r="J52" i="6" s="1"/>
  <c r="F55" i="6" l="1"/>
  <c r="F56" i="6" s="1"/>
  <c r="F58" i="6" s="1"/>
  <c r="F10" i="8" s="1"/>
  <c r="F57" i="6" l="1"/>
  <c r="J8" i="3" s="1"/>
  <c r="G20" i="13" s="1"/>
  <c r="J9" i="3"/>
  <c r="G21" i="13" s="1"/>
  <c r="C7" i="3"/>
  <c r="L8" i="8" s="1"/>
  <c r="M17" i="13" s="1"/>
  <c r="C8" i="3"/>
  <c r="L9" i="8" s="1"/>
  <c r="M18" i="13" s="1"/>
  <c r="F59" i="6" l="1"/>
  <c r="J10" i="3" s="1"/>
  <c r="F9" i="8"/>
  <c r="C14" i="3"/>
  <c r="C9" i="3"/>
  <c r="C12" i="3" s="1"/>
  <c r="C13" i="3" s="1"/>
  <c r="C16" i="3" s="1"/>
  <c r="F60" i="6" l="1"/>
  <c r="F12" i="8" s="1"/>
  <c r="F11" i="8"/>
  <c r="L12" i="8"/>
  <c r="M21" i="13" s="1"/>
  <c r="C17" i="3"/>
  <c r="C18" i="3" s="1"/>
  <c r="L10" i="8"/>
  <c r="L11" i="8"/>
  <c r="L15" i="8"/>
  <c r="J11" i="3" l="1"/>
  <c r="G22" i="13" s="1"/>
  <c r="C7" i="8" l="1"/>
  <c r="H27" i="2"/>
  <c r="I41" i="2" l="1"/>
  <c r="F55" i="5"/>
  <c r="F57" i="5" s="1"/>
  <c r="I42" i="2"/>
  <c r="M25" i="13" s="1"/>
  <c r="F56" i="5" l="1"/>
  <c r="F58" i="5" s="1"/>
  <c r="F59" i="5" s="1"/>
  <c r="C9" i="8"/>
  <c r="G8" i="3"/>
  <c r="D20" i="13" l="1"/>
  <c r="C4" i="3"/>
  <c r="L4" i="8" s="1"/>
  <c r="M13" i="13" s="1"/>
  <c r="G9" i="3"/>
  <c r="C10" i="8"/>
  <c r="G10" i="3"/>
  <c r="C11" i="8"/>
  <c r="F60" i="5"/>
  <c r="D21" i="13" l="1"/>
  <c r="C5" i="3"/>
  <c r="L5" i="8" s="1"/>
  <c r="M14" i="13" s="1"/>
  <c r="C25" i="13"/>
  <c r="M24" i="13"/>
  <c r="H30" i="2"/>
  <c r="M20" i="13"/>
  <c r="M19" i="13"/>
  <c r="G11" i="3"/>
  <c r="D22" i="13" s="1"/>
  <c r="C12" i="8"/>
</calcChain>
</file>

<file path=xl/sharedStrings.xml><?xml version="1.0" encoding="utf-8"?>
<sst xmlns="http://schemas.openxmlformats.org/spreadsheetml/2006/main" count="168" uniqueCount="102">
  <si>
    <t>Number of Samples Measured:</t>
  </si>
  <si>
    <t>xlny</t>
  </si>
  <si>
    <t>A</t>
  </si>
  <si>
    <t>Time (hrs) = x</t>
  </si>
  <si>
    <t>Average Normalized Lumen Maintenance = y</t>
  </si>
  <si>
    <t>xy</t>
  </si>
  <si>
    <r>
      <t>x</t>
    </r>
    <r>
      <rPr>
        <vertAlign val="superscript"/>
        <sz val="11"/>
        <color theme="1"/>
        <rFont val="Calibri"/>
        <family val="2"/>
        <scheme val="minor"/>
      </rPr>
      <t>2</t>
    </r>
  </si>
  <si>
    <t>ln(y)</t>
  </si>
  <si>
    <t>Sums</t>
  </si>
  <si>
    <t>Results</t>
  </si>
  <si>
    <t>Temperature (⁰C):</t>
  </si>
  <si>
    <t>Temperature (⁰K):</t>
  </si>
  <si>
    <t>Case Temperature 1</t>
  </si>
  <si>
    <t>Case Temperature 2</t>
  </si>
  <si>
    <t>Case Temperature 3</t>
  </si>
  <si>
    <t>Slope:</t>
  </si>
  <si>
    <t>Intercept:</t>
  </si>
  <si>
    <t>α:</t>
  </si>
  <si>
    <t>B:</t>
  </si>
  <si>
    <r>
      <t>E</t>
    </r>
    <r>
      <rPr>
        <vertAlign val="subscript"/>
        <sz val="11"/>
        <color theme="1"/>
        <rFont val="Calibri"/>
        <family val="2"/>
        <scheme val="minor"/>
      </rPr>
      <t>a</t>
    </r>
    <r>
      <rPr>
        <sz val="11"/>
        <color theme="1"/>
        <rFont val="Calibri"/>
        <family val="2"/>
        <scheme val="minor"/>
      </rPr>
      <t>/k</t>
    </r>
    <r>
      <rPr>
        <vertAlign val="subscript"/>
        <sz val="11"/>
        <color theme="1"/>
        <rFont val="Calibri"/>
        <family val="2"/>
        <scheme val="minor"/>
      </rPr>
      <t>b</t>
    </r>
  </si>
  <si>
    <r>
      <t>α</t>
    </r>
    <r>
      <rPr>
        <vertAlign val="subscript"/>
        <sz val="11"/>
        <color theme="1"/>
        <rFont val="Calibri"/>
        <family val="2"/>
      </rPr>
      <t>1</t>
    </r>
  </si>
  <si>
    <r>
      <t>B</t>
    </r>
    <r>
      <rPr>
        <vertAlign val="subscript"/>
        <sz val="11"/>
        <color theme="1"/>
        <rFont val="Calibri"/>
        <family val="2"/>
        <scheme val="minor"/>
      </rPr>
      <t>1</t>
    </r>
  </si>
  <si>
    <r>
      <t>α</t>
    </r>
    <r>
      <rPr>
        <vertAlign val="subscript"/>
        <sz val="9.35"/>
        <color theme="1"/>
        <rFont val="Calibri"/>
        <family val="2"/>
      </rPr>
      <t>2</t>
    </r>
  </si>
  <si>
    <r>
      <t>B</t>
    </r>
    <r>
      <rPr>
        <vertAlign val="subscript"/>
        <sz val="11"/>
        <color theme="1"/>
        <rFont val="Calibri"/>
        <family val="2"/>
        <scheme val="minor"/>
      </rPr>
      <t>2</t>
    </r>
  </si>
  <si>
    <r>
      <t>k</t>
    </r>
    <r>
      <rPr>
        <vertAlign val="subscript"/>
        <sz val="11"/>
        <color theme="1"/>
        <rFont val="Calibri"/>
        <family val="2"/>
        <scheme val="minor"/>
      </rPr>
      <t>b</t>
    </r>
    <r>
      <rPr>
        <sz val="11"/>
        <color theme="1"/>
        <rFont val="Calibri"/>
        <family val="2"/>
        <scheme val="minor"/>
      </rPr>
      <t xml:space="preserve"> (eV/K)</t>
    </r>
  </si>
  <si>
    <r>
      <t>E</t>
    </r>
    <r>
      <rPr>
        <vertAlign val="subscript"/>
        <sz val="11"/>
        <color theme="1"/>
        <rFont val="Calibri"/>
        <family val="2"/>
        <scheme val="minor"/>
      </rPr>
      <t>a</t>
    </r>
    <r>
      <rPr>
        <sz val="11"/>
        <color theme="1"/>
        <rFont val="Calibri"/>
        <family val="2"/>
        <scheme val="minor"/>
      </rPr>
      <t xml:space="preserve"> (eV)</t>
    </r>
  </si>
  <si>
    <r>
      <t>B</t>
    </r>
    <r>
      <rPr>
        <vertAlign val="subscript"/>
        <sz val="11"/>
        <color theme="1"/>
        <rFont val="Calibri"/>
        <family val="2"/>
        <scheme val="minor"/>
      </rPr>
      <t>0</t>
    </r>
  </si>
  <si>
    <r>
      <t>α</t>
    </r>
    <r>
      <rPr>
        <vertAlign val="subscript"/>
        <sz val="11"/>
        <color theme="1"/>
        <rFont val="Calibri"/>
        <family val="2"/>
      </rPr>
      <t>i</t>
    </r>
  </si>
  <si>
    <r>
      <t>T</t>
    </r>
    <r>
      <rPr>
        <vertAlign val="subscript"/>
        <sz val="11"/>
        <color theme="1"/>
        <rFont val="Calibri"/>
        <family val="2"/>
        <scheme val="minor"/>
      </rPr>
      <t>s,1</t>
    </r>
    <r>
      <rPr>
        <sz val="11"/>
        <color theme="1"/>
        <rFont val="Calibri"/>
        <family val="2"/>
        <scheme val="minor"/>
      </rPr>
      <t xml:space="preserve"> (</t>
    </r>
    <r>
      <rPr>
        <sz val="11"/>
        <color theme="1"/>
        <rFont val="Calibri"/>
        <family val="2"/>
      </rPr>
      <t>⁰C</t>
    </r>
    <r>
      <rPr>
        <sz val="11"/>
        <color theme="1"/>
        <rFont val="Calibri"/>
        <family val="2"/>
        <scheme val="minor"/>
      </rPr>
      <t>)</t>
    </r>
  </si>
  <si>
    <r>
      <t>T</t>
    </r>
    <r>
      <rPr>
        <vertAlign val="subscript"/>
        <sz val="11"/>
        <color theme="1"/>
        <rFont val="Calibri"/>
        <family val="2"/>
        <scheme val="minor"/>
      </rPr>
      <t>s,1</t>
    </r>
    <r>
      <rPr>
        <sz val="11"/>
        <color theme="1"/>
        <rFont val="Calibri"/>
        <family val="2"/>
        <scheme val="minor"/>
      </rPr>
      <t xml:space="preserve"> (K)</t>
    </r>
  </si>
  <si>
    <r>
      <t>T</t>
    </r>
    <r>
      <rPr>
        <vertAlign val="subscript"/>
        <sz val="11"/>
        <color theme="1"/>
        <rFont val="Calibri"/>
        <family val="2"/>
        <scheme val="minor"/>
      </rPr>
      <t>s,2</t>
    </r>
    <r>
      <rPr>
        <sz val="11"/>
        <color theme="1"/>
        <rFont val="Calibri"/>
        <family val="2"/>
        <scheme val="minor"/>
      </rPr>
      <t xml:space="preserve"> (K)</t>
    </r>
  </si>
  <si>
    <r>
      <t>α</t>
    </r>
    <r>
      <rPr>
        <vertAlign val="subscript"/>
        <sz val="11"/>
        <color theme="1"/>
        <rFont val="Calibri"/>
        <family val="2"/>
      </rPr>
      <t>2</t>
    </r>
  </si>
  <si>
    <r>
      <t>T</t>
    </r>
    <r>
      <rPr>
        <vertAlign val="subscript"/>
        <sz val="11"/>
        <color theme="1"/>
        <rFont val="Calibri"/>
        <family val="2"/>
        <scheme val="minor"/>
      </rPr>
      <t>s,i</t>
    </r>
    <r>
      <rPr>
        <sz val="11"/>
        <color theme="1"/>
        <rFont val="Calibri"/>
        <family val="2"/>
        <scheme val="minor"/>
      </rPr>
      <t xml:space="preserve"> (</t>
    </r>
    <r>
      <rPr>
        <sz val="11"/>
        <color theme="1"/>
        <rFont val="Calibri"/>
        <family val="2"/>
      </rPr>
      <t>⁰C</t>
    </r>
    <r>
      <rPr>
        <sz val="11"/>
        <color theme="1"/>
        <rFont val="Calibri"/>
        <family val="2"/>
        <scheme val="minor"/>
      </rPr>
      <t>)</t>
    </r>
  </si>
  <si>
    <r>
      <t>T</t>
    </r>
    <r>
      <rPr>
        <vertAlign val="subscript"/>
        <sz val="11"/>
        <color theme="1"/>
        <rFont val="Calibri"/>
        <family val="2"/>
        <scheme val="minor"/>
      </rPr>
      <t>s,i</t>
    </r>
    <r>
      <rPr>
        <sz val="11"/>
        <color theme="1"/>
        <rFont val="Calibri"/>
        <family val="2"/>
        <scheme val="minor"/>
      </rPr>
      <t xml:space="preserve"> (K)</t>
    </r>
  </si>
  <si>
    <t>Calculations:</t>
  </si>
  <si>
    <r>
      <t>T</t>
    </r>
    <r>
      <rPr>
        <vertAlign val="subscript"/>
        <sz val="11"/>
        <color theme="1"/>
        <rFont val="Calibri"/>
        <family val="2"/>
        <scheme val="minor"/>
      </rPr>
      <t>s,2</t>
    </r>
    <r>
      <rPr>
        <sz val="11"/>
        <color theme="1"/>
        <rFont val="Calibri"/>
        <family val="2"/>
        <scheme val="minor"/>
      </rPr>
      <t xml:space="preserve"> (⁰C)</t>
    </r>
  </si>
  <si>
    <r>
      <t>Minimum Case Temperature (T</t>
    </r>
    <r>
      <rPr>
        <vertAlign val="subscript"/>
        <sz val="11"/>
        <color theme="1"/>
        <rFont val="Calibri"/>
        <family val="2"/>
        <scheme val="minor"/>
      </rPr>
      <t>s,1</t>
    </r>
    <r>
      <rPr>
        <sz val="11"/>
        <color theme="1"/>
        <rFont val="Calibri"/>
        <family val="2"/>
        <scheme val="minor"/>
      </rPr>
      <t>) for Extrapolation (K):</t>
    </r>
  </si>
  <si>
    <r>
      <t>Maximum Case Temperature (T</t>
    </r>
    <r>
      <rPr>
        <vertAlign val="subscript"/>
        <sz val="11"/>
        <color theme="1"/>
        <rFont val="Calibri"/>
        <family val="2"/>
        <scheme val="minor"/>
      </rPr>
      <t>s,2</t>
    </r>
    <r>
      <rPr>
        <sz val="11"/>
        <color theme="1"/>
        <rFont val="Calibri"/>
        <family val="2"/>
        <scheme val="minor"/>
      </rPr>
      <t>) for Extrapolation (K):</t>
    </r>
  </si>
  <si>
    <r>
      <t>In Situ Case Temperature (T</t>
    </r>
    <r>
      <rPr>
        <vertAlign val="subscript"/>
        <sz val="11"/>
        <color theme="1"/>
        <rFont val="Calibri"/>
        <family val="2"/>
        <scheme val="minor"/>
      </rPr>
      <t>s,i</t>
    </r>
    <r>
      <rPr>
        <sz val="11"/>
        <color theme="1"/>
        <rFont val="Calibri"/>
        <family val="2"/>
        <scheme val="minor"/>
      </rPr>
      <t>) (K):</t>
    </r>
  </si>
  <si>
    <t>Number of Samples Tested:</t>
  </si>
  <si>
    <t>Number of Failures:</t>
  </si>
  <si>
    <t>DUT drive current used in the test (mA):</t>
  </si>
  <si>
    <t>Test duration (hrs):</t>
  </si>
  <si>
    <t>Test duration used for projection (hr to hr):</t>
  </si>
  <si>
    <t>Tested case temperature (⁰C):</t>
  </si>
  <si>
    <t>LM-80 Test Inputs</t>
  </si>
  <si>
    <t>Lumen maintenance at time (t) (%):</t>
  </si>
  <si>
    <t>LM-80 Testing Details</t>
  </si>
  <si>
    <t>Number of failures:</t>
  </si>
  <si>
    <t>Tested drive current (mA):</t>
  </si>
  <si>
    <r>
      <t>Tested case temperature 1 (T</t>
    </r>
    <r>
      <rPr>
        <vertAlign val="subscript"/>
        <sz val="14"/>
        <color theme="1"/>
        <rFont val="Arial"/>
        <family val="2"/>
      </rPr>
      <t>c</t>
    </r>
    <r>
      <rPr>
        <sz val="14"/>
        <color theme="1"/>
        <rFont val="Arial"/>
        <family val="2"/>
      </rPr>
      <t>, ⁰C):</t>
    </r>
  </si>
  <si>
    <r>
      <t>Tested case temperature 2 (T</t>
    </r>
    <r>
      <rPr>
        <vertAlign val="subscript"/>
        <sz val="14"/>
        <color theme="1"/>
        <rFont val="Arial"/>
        <family val="2"/>
      </rPr>
      <t>c</t>
    </r>
    <r>
      <rPr>
        <sz val="14"/>
        <color theme="1"/>
        <rFont val="Arial"/>
        <family val="2"/>
      </rPr>
      <t>, ⁰C):</t>
    </r>
  </si>
  <si>
    <r>
      <t>Tested case temperature 3 (T</t>
    </r>
    <r>
      <rPr>
        <vertAlign val="subscript"/>
        <sz val="14"/>
        <color theme="1"/>
        <rFont val="Arial"/>
        <family val="2"/>
      </rPr>
      <t>c</t>
    </r>
    <r>
      <rPr>
        <sz val="14"/>
        <color theme="1"/>
        <rFont val="Arial"/>
        <family val="2"/>
      </rPr>
      <t>, ⁰C):</t>
    </r>
  </si>
  <si>
    <r>
      <rPr>
        <b/>
        <sz val="18"/>
        <rFont val="Arial"/>
        <family val="2"/>
      </rPr>
      <t xml:space="preserve">       ENERGY STAR</t>
    </r>
    <r>
      <rPr>
        <b/>
        <vertAlign val="superscript"/>
        <sz val="18"/>
        <rFont val="Arial"/>
        <family val="2"/>
      </rPr>
      <t>®</t>
    </r>
    <r>
      <rPr>
        <b/>
        <sz val="18"/>
        <rFont val="Arial"/>
        <family val="2"/>
      </rPr>
      <t xml:space="preserve"> TM-21 Calculator</t>
    </r>
    <r>
      <rPr>
        <b/>
        <u/>
        <sz val="18"/>
        <rFont val="Arial"/>
        <family val="2"/>
      </rPr>
      <t xml:space="preserve">
</t>
    </r>
  </si>
  <si>
    <t>Lumen Maintenance (%)</t>
  </si>
  <si>
    <t>Description of LED Light Source Tested 
(manufacturer, model, catalog number)</t>
  </si>
  <si>
    <t>Instructions</t>
  </si>
  <si>
    <t>Table 1: Report at each LM-80 Test Condition</t>
  </si>
  <si>
    <t>Table 2: Report for Interpolation (based on in-situ temperature)</t>
  </si>
  <si>
    <t>Tested case temperature (⁰C)</t>
  </si>
  <si>
    <t>α</t>
  </si>
  <si>
    <t>B</t>
  </si>
  <si>
    <t>DUT drive current used in the test (mA)</t>
  </si>
  <si>
    <t>Number of failures</t>
  </si>
  <si>
    <t>Sample size</t>
  </si>
  <si>
    <t>Test duration (hours)</t>
  </si>
  <si>
    <t>Test duration used for projection (hour to hour)</t>
  </si>
  <si>
    <r>
      <t>T</t>
    </r>
    <r>
      <rPr>
        <vertAlign val="subscript"/>
        <sz val="11"/>
        <color theme="1"/>
        <rFont val="Arial"/>
        <family val="2"/>
      </rPr>
      <t>s,1</t>
    </r>
    <r>
      <rPr>
        <sz val="11"/>
        <color theme="1"/>
        <rFont val="Arial"/>
        <family val="2"/>
      </rPr>
      <t xml:space="preserve"> (⁰C)</t>
    </r>
  </si>
  <si>
    <r>
      <t>T</t>
    </r>
    <r>
      <rPr>
        <vertAlign val="subscript"/>
        <sz val="11"/>
        <color theme="1"/>
        <rFont val="Arial"/>
        <family val="2"/>
      </rPr>
      <t>s,1</t>
    </r>
    <r>
      <rPr>
        <sz val="11"/>
        <color theme="1"/>
        <rFont val="Arial"/>
        <family val="2"/>
      </rPr>
      <t xml:space="preserve"> (K)</t>
    </r>
  </si>
  <si>
    <r>
      <t>α</t>
    </r>
    <r>
      <rPr>
        <vertAlign val="subscript"/>
        <sz val="11"/>
        <color theme="1"/>
        <rFont val="Arial"/>
        <family val="2"/>
      </rPr>
      <t>1</t>
    </r>
  </si>
  <si>
    <r>
      <t>B</t>
    </r>
    <r>
      <rPr>
        <vertAlign val="subscript"/>
        <sz val="11"/>
        <color theme="1"/>
        <rFont val="Arial"/>
        <family val="2"/>
      </rPr>
      <t>1</t>
    </r>
  </si>
  <si>
    <r>
      <t>T</t>
    </r>
    <r>
      <rPr>
        <vertAlign val="subscript"/>
        <sz val="11"/>
        <color theme="1"/>
        <rFont val="Arial"/>
        <family val="2"/>
      </rPr>
      <t>s,2</t>
    </r>
    <r>
      <rPr>
        <sz val="11"/>
        <color theme="1"/>
        <rFont val="Arial"/>
        <family val="2"/>
      </rPr>
      <t xml:space="preserve"> (⁰C)</t>
    </r>
  </si>
  <si>
    <r>
      <t>T</t>
    </r>
    <r>
      <rPr>
        <vertAlign val="subscript"/>
        <sz val="11"/>
        <color theme="1"/>
        <rFont val="Arial"/>
        <family val="2"/>
      </rPr>
      <t>s,2</t>
    </r>
    <r>
      <rPr>
        <sz val="11"/>
        <color theme="1"/>
        <rFont val="Arial"/>
        <family val="2"/>
      </rPr>
      <t xml:space="preserve"> (K)</t>
    </r>
  </si>
  <si>
    <r>
      <t>α</t>
    </r>
    <r>
      <rPr>
        <vertAlign val="subscript"/>
        <sz val="11"/>
        <color theme="1"/>
        <rFont val="Arial"/>
        <family val="2"/>
      </rPr>
      <t>2</t>
    </r>
  </si>
  <si>
    <r>
      <t>B</t>
    </r>
    <r>
      <rPr>
        <vertAlign val="subscript"/>
        <sz val="11"/>
        <color theme="1"/>
        <rFont val="Arial"/>
        <family val="2"/>
      </rPr>
      <t>2</t>
    </r>
  </si>
  <si>
    <r>
      <t>E</t>
    </r>
    <r>
      <rPr>
        <vertAlign val="subscript"/>
        <sz val="11"/>
        <color theme="1"/>
        <rFont val="Arial"/>
        <family val="2"/>
      </rPr>
      <t>a</t>
    </r>
    <r>
      <rPr>
        <sz val="11"/>
        <color theme="1"/>
        <rFont val="Arial"/>
        <family val="2"/>
      </rPr>
      <t>/k</t>
    </r>
    <r>
      <rPr>
        <vertAlign val="subscript"/>
        <sz val="11"/>
        <color theme="1"/>
        <rFont val="Arial"/>
        <family val="2"/>
      </rPr>
      <t>b</t>
    </r>
  </si>
  <si>
    <r>
      <t>B</t>
    </r>
    <r>
      <rPr>
        <vertAlign val="subscript"/>
        <sz val="11"/>
        <color theme="1"/>
        <rFont val="Arial"/>
        <family val="2"/>
      </rPr>
      <t>0</t>
    </r>
  </si>
  <si>
    <r>
      <t>T</t>
    </r>
    <r>
      <rPr>
        <vertAlign val="subscript"/>
        <sz val="11"/>
        <color theme="1"/>
        <rFont val="Arial"/>
        <family val="2"/>
      </rPr>
      <t>s,i</t>
    </r>
    <r>
      <rPr>
        <sz val="11"/>
        <color theme="1"/>
        <rFont val="Arial"/>
        <family val="2"/>
      </rPr>
      <t xml:space="preserve"> (⁰C)</t>
    </r>
  </si>
  <si>
    <r>
      <t>T</t>
    </r>
    <r>
      <rPr>
        <vertAlign val="subscript"/>
        <sz val="11"/>
        <color theme="1"/>
        <rFont val="Arial"/>
        <family val="2"/>
      </rPr>
      <t>s,i</t>
    </r>
    <r>
      <rPr>
        <sz val="11"/>
        <color theme="1"/>
        <rFont val="Arial"/>
        <family val="2"/>
      </rPr>
      <t xml:space="preserve"> (K)</t>
    </r>
  </si>
  <si>
    <r>
      <t>α</t>
    </r>
    <r>
      <rPr>
        <vertAlign val="subscript"/>
        <sz val="11"/>
        <color theme="1"/>
        <rFont val="Arial"/>
        <family val="2"/>
      </rPr>
      <t>i</t>
    </r>
  </si>
  <si>
    <t>TM-21 Inputs</t>
  </si>
  <si>
    <t>Table 2: Interpolation Report</t>
  </si>
  <si>
    <t>Time (hours)</t>
  </si>
  <si>
    <t>Test duration (hours):</t>
  </si>
  <si>
    <t>Number of units measured:</t>
  </si>
  <si>
    <r>
      <t xml:space="preserve">(projection based on </t>
    </r>
    <r>
      <rPr>
        <b/>
        <i/>
        <sz val="11"/>
        <color theme="0"/>
        <rFont val="Arial"/>
        <family val="2"/>
      </rPr>
      <t>in-situ</t>
    </r>
    <r>
      <rPr>
        <b/>
        <sz val="11"/>
        <color theme="0"/>
        <rFont val="Arial"/>
        <family val="2"/>
      </rPr>
      <t xml:space="preserve"> temperature entered)</t>
    </r>
  </si>
  <si>
    <t xml:space="preserve">Report Generated By: </t>
  </si>
  <si>
    <t xml:space="preserve">Company: </t>
  </si>
  <si>
    <t xml:space="preserve">Date: </t>
  </si>
  <si>
    <t>Total number of units tested per case temperature:</t>
  </si>
  <si>
    <t>TM-21 Report</t>
  </si>
  <si>
    <t>Description of LED Light Source Tested (manufacturer, model, 
catalog number)</t>
  </si>
  <si>
    <r>
      <rPr>
        <b/>
        <i/>
        <sz val="20"/>
        <color theme="1"/>
        <rFont val="Arial"/>
        <family val="2"/>
      </rPr>
      <t xml:space="preserve">In-Situ </t>
    </r>
    <r>
      <rPr>
        <b/>
        <sz val="20"/>
        <color theme="1"/>
        <rFont val="Arial"/>
        <family val="2"/>
      </rPr>
      <t>Inputs</t>
    </r>
  </si>
  <si>
    <t>Time (t) at which to estimate lumen maintenance (hours):</t>
  </si>
  <si>
    <t>Drive current for each 
LED package/array/module (mA):</t>
  </si>
  <si>
    <r>
      <rPr>
        <i/>
        <sz val="14"/>
        <color theme="1"/>
        <rFont val="Arial"/>
        <family val="2"/>
      </rPr>
      <t>In-situ</t>
    </r>
    <r>
      <rPr>
        <sz val="14"/>
        <color theme="1"/>
        <rFont val="Arial"/>
        <family val="2"/>
      </rPr>
      <t xml:space="preserve"> case temperature (T</t>
    </r>
    <r>
      <rPr>
        <vertAlign val="subscript"/>
        <sz val="14"/>
        <color theme="1"/>
        <rFont val="Arial"/>
        <family val="2"/>
      </rPr>
      <t>c</t>
    </r>
    <r>
      <rPr>
        <sz val="14"/>
        <color theme="1"/>
        <rFont val="Arial"/>
        <family val="2"/>
      </rPr>
      <t>, ⁰C):</t>
    </r>
  </si>
  <si>
    <r>
      <t>Percentage of initial lumens to project to (e.g. for L</t>
    </r>
    <r>
      <rPr>
        <vertAlign val="subscript"/>
        <sz val="14"/>
        <color theme="1"/>
        <rFont val="Arial"/>
        <family val="2"/>
      </rPr>
      <t>70</t>
    </r>
    <r>
      <rPr>
        <sz val="14"/>
        <color theme="1"/>
        <rFont val="Arial"/>
        <family val="2"/>
      </rPr>
      <t>, enter 70):</t>
    </r>
  </si>
  <si>
    <t xml:space="preserve">Notes: </t>
  </si>
  <si>
    <r>
      <t xml:space="preserve">Yellow fields are completed by the user.  Fields not used should be left blank.  Cyan fields are calculated based on user entries.
First, enter a description of the LED light source tested.  Then complete the fields labeled "LM-80 Testing Details".  Test duration must be at least 6,000 hours.  If only one case temperature data set is to be used (no interpolation), complete only "Tested case temperature 1".  For only two case temperature data sets, complete 1 and 2. 
Next, further to the right, in the corresponding box(es) for each tested case temperature, enter the test data along with the time (in hours) at which each measurement was taken.  Data entered must be normalized then averaged measured data (per TM-21 sections 5.2.1 and 5.2.2). If case temperatures have different test durations, enter data up to the lowest of the test durations for all of the case temperatures.
Enter drive current, </t>
    </r>
    <r>
      <rPr>
        <i/>
        <sz val="14"/>
        <color theme="1"/>
        <rFont val="Arial"/>
        <family val="2"/>
      </rPr>
      <t>in-situ</t>
    </r>
    <r>
      <rPr>
        <sz val="14"/>
        <color theme="1"/>
        <rFont val="Arial"/>
        <family val="2"/>
      </rPr>
      <t xml:space="preserve"> temperature data and the percentage of initial lumens to project to in the fields labeled "</t>
    </r>
    <r>
      <rPr>
        <i/>
        <sz val="14"/>
        <color theme="1"/>
        <rFont val="Arial"/>
        <family val="2"/>
      </rPr>
      <t>In-Situ</t>
    </r>
    <r>
      <rPr>
        <sz val="14"/>
        <color theme="1"/>
        <rFont val="Arial"/>
        <family val="2"/>
      </rPr>
      <t xml:space="preserve"> Inputs".
Results can be tailored to estimate lumen maintenance at a specific time by entering a value (t) in the yellow field. A complete TM-21 report will appear on the next tab labeled "Report".</t>
    </r>
  </si>
  <si>
    <t>Interval</t>
  </si>
  <si>
    <t>Interval Dif.</t>
  </si>
  <si>
    <r>
      <rPr>
        <b/>
        <sz val="12"/>
        <color theme="1"/>
        <rFont val="Arial"/>
        <family val="2"/>
      </rPr>
      <t>Note: Users should download a new copy of this calculator for each use, to ensure use of the most up-to-date version of the calculator.  Users are encouraged to bookmark the hyperlink to this calculator.  Project-specific copies complete with calculations may be saved on a local drive.</t>
    </r>
    <r>
      <rPr>
        <sz val="14"/>
        <color theme="1"/>
        <rFont val="Arial"/>
        <family val="2"/>
      </rPr>
      <t xml:space="preserve">
</t>
    </r>
    <r>
      <rPr>
        <sz val="10"/>
        <color theme="1"/>
        <rFont val="Arial"/>
        <family val="2"/>
      </rPr>
      <t xml:space="preserve"> </t>
    </r>
    <r>
      <rPr>
        <sz val="14"/>
        <color theme="1"/>
        <rFont val="Arial"/>
        <family val="2"/>
      </rPr>
      <t xml:space="preserve">
</t>
    </r>
    <r>
      <rPr>
        <sz val="12"/>
        <color theme="1"/>
        <rFont val="Arial"/>
        <family val="2"/>
      </rPr>
      <t xml:space="preserve">This calculator is based on the Illuminating Engineering Society’s TM-21-11: </t>
    </r>
    <r>
      <rPr>
        <i/>
        <sz val="12"/>
        <color theme="1"/>
        <rFont val="Arial"/>
        <family val="2"/>
      </rPr>
      <t xml:space="preserve">Projecting Long Term Lumen Maintenance of LED Light Sources </t>
    </r>
    <r>
      <rPr>
        <sz val="12"/>
        <color theme="1"/>
        <rFont val="Arial"/>
        <family val="2"/>
      </rPr>
      <t xml:space="preserve">and </t>
    </r>
    <r>
      <rPr>
        <i/>
        <sz val="12"/>
        <color theme="1"/>
        <rFont val="Arial"/>
        <family val="2"/>
      </rPr>
      <t>Addendum A for TM-21-11: Projecting Long Term Lumen Maintenance of LED Packages</t>
    </r>
    <r>
      <rPr>
        <sz val="12"/>
        <color theme="1"/>
        <rFont val="Arial"/>
        <family val="2"/>
      </rPr>
      <t>. Calculator results have been reviewed by the U.S. National Institute of Standards and Technology (NIST). Calculations are locked; only data entry cells may be modified.
Calculator inputs are entered on the second tab, with instructions. The calculator may be used with one, two or three case temperatures. Inputting values on the second tab generates a complete TM-21 report on the Report tab.
For calculating data with different test period lengths, use data from the time period equal to the shortest time period for all temperatures.
Questions may be directed to lighting@energystar.gov.</t>
    </r>
  </si>
</sst>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3" formatCode="_(* #,##0.00_);_(* \(#,##0.00\);_(* &quot;-&quot;??_);_(@_)"/>
    <numFmt numFmtId="164" formatCode="0.000E+00"/>
    <numFmt numFmtId="165" formatCode="0.00000"/>
    <numFmt numFmtId="166" formatCode="0.0000E+00"/>
    <numFmt numFmtId="167" formatCode="0.00000E+00"/>
    <numFmt numFmtId="168" formatCode="_(* #,##0_);_(* \(#,##0\);_(* &quot;-&quot;??_);_(@_)"/>
    <numFmt numFmtId="169" formatCode="0.000"/>
    <numFmt numFmtId="170" formatCode="0.0000"/>
  </numFmts>
  <fonts count="41" x14ac:knownFonts="1">
    <font>
      <sz val="11"/>
      <color theme="1"/>
      <name val="Calibri"/>
      <family val="2"/>
      <scheme val="minor"/>
    </font>
    <font>
      <sz val="11"/>
      <color theme="1"/>
      <name val="Calibri"/>
      <family val="2"/>
      <scheme val="minor"/>
    </font>
    <font>
      <sz val="11"/>
      <color theme="1"/>
      <name val="Calibri"/>
      <family val="2"/>
    </font>
    <font>
      <sz val="12"/>
      <color theme="0"/>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vertAlign val="subscript"/>
      <sz val="11"/>
      <color theme="1"/>
      <name val="Calibri"/>
      <family val="2"/>
      <scheme val="minor"/>
    </font>
    <font>
      <vertAlign val="subscript"/>
      <sz val="9.35"/>
      <color theme="1"/>
      <name val="Calibri"/>
      <family val="2"/>
    </font>
    <font>
      <vertAlign val="subscript"/>
      <sz val="11"/>
      <color theme="1"/>
      <name val="Calibri"/>
      <family val="2"/>
    </font>
    <font>
      <sz val="11"/>
      <color theme="0" tint="-0.249977111117893"/>
      <name val="Calibri"/>
      <family val="2"/>
      <scheme val="minor"/>
    </font>
    <font>
      <sz val="14"/>
      <color theme="1"/>
      <name val="Calibri"/>
      <family val="2"/>
      <scheme val="minor"/>
    </font>
    <font>
      <sz val="11"/>
      <color theme="1"/>
      <name val="Arial"/>
      <family val="2"/>
    </font>
    <font>
      <b/>
      <sz val="18"/>
      <name val="Arial"/>
      <family val="2"/>
    </font>
    <font>
      <b/>
      <sz val="14"/>
      <color theme="1"/>
      <name val="Arial"/>
      <family val="2"/>
    </font>
    <font>
      <sz val="16"/>
      <color theme="1"/>
      <name val="Arial"/>
      <family val="2"/>
    </font>
    <font>
      <sz val="12"/>
      <color theme="1"/>
      <name val="Arial"/>
      <family val="2"/>
    </font>
    <font>
      <b/>
      <vertAlign val="superscript"/>
      <sz val="18"/>
      <name val="Arial"/>
      <family val="2"/>
    </font>
    <font>
      <i/>
      <sz val="12"/>
      <color theme="1"/>
      <name val="Arial"/>
      <family val="2"/>
    </font>
    <font>
      <sz val="14"/>
      <color theme="1"/>
      <name val="Arial"/>
      <family val="2"/>
    </font>
    <font>
      <sz val="14"/>
      <color theme="0"/>
      <name val="Arial"/>
      <family val="2"/>
    </font>
    <font>
      <b/>
      <sz val="11"/>
      <color theme="1"/>
      <name val="Arial"/>
      <family val="2"/>
    </font>
    <font>
      <sz val="14"/>
      <color rgb="FFFF0000"/>
      <name val="Arial"/>
      <family val="2"/>
    </font>
    <font>
      <sz val="11"/>
      <color rgb="FFFF0000"/>
      <name val="Arial"/>
      <family val="2"/>
    </font>
    <font>
      <sz val="12"/>
      <color rgb="FFFF0000"/>
      <name val="Arial"/>
      <family val="2"/>
    </font>
    <font>
      <i/>
      <sz val="14"/>
      <color theme="1"/>
      <name val="Arial"/>
      <family val="2"/>
    </font>
    <font>
      <vertAlign val="subscript"/>
      <sz val="14"/>
      <color theme="1"/>
      <name val="Arial"/>
      <family val="2"/>
    </font>
    <font>
      <b/>
      <sz val="20"/>
      <color theme="1"/>
      <name val="Arial"/>
      <family val="2"/>
    </font>
    <font>
      <b/>
      <sz val="20"/>
      <color theme="1"/>
      <name val="Calibri"/>
      <family val="2"/>
      <scheme val="minor"/>
    </font>
    <font>
      <b/>
      <sz val="28"/>
      <color theme="1"/>
      <name val="Arial"/>
      <family val="2"/>
    </font>
    <font>
      <b/>
      <i/>
      <sz val="20"/>
      <color theme="1"/>
      <name val="Arial"/>
      <family val="2"/>
    </font>
    <font>
      <b/>
      <u/>
      <sz val="18"/>
      <name val="Arial"/>
      <family val="2"/>
    </font>
    <font>
      <b/>
      <sz val="22"/>
      <color theme="1"/>
      <name val="Arial"/>
      <family val="2"/>
    </font>
    <font>
      <b/>
      <sz val="11"/>
      <name val="Arial"/>
      <family val="2"/>
    </font>
    <font>
      <sz val="11"/>
      <name val="Arial"/>
      <family val="2"/>
    </font>
    <font>
      <b/>
      <sz val="11"/>
      <color theme="0"/>
      <name val="Arial"/>
      <family val="2"/>
    </font>
    <font>
      <vertAlign val="subscript"/>
      <sz val="11"/>
      <color theme="1"/>
      <name val="Arial"/>
      <family val="2"/>
    </font>
    <font>
      <b/>
      <i/>
      <sz val="11"/>
      <color theme="0"/>
      <name val="Arial"/>
      <family val="2"/>
    </font>
    <font>
      <sz val="10"/>
      <color theme="1"/>
      <name val="Arial"/>
      <family val="2"/>
    </font>
    <font>
      <b/>
      <sz val="12"/>
      <color theme="1"/>
      <name val="Arial"/>
      <family val="2"/>
    </font>
    <font>
      <sz val="8"/>
      <color theme="1"/>
      <name val="Arial"/>
      <family val="2"/>
    </font>
  </fonts>
  <fills count="13">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theme="0" tint="-0.14996795556505021"/>
        <bgColor indexed="64"/>
      </patternFill>
    </fill>
    <fill>
      <patternFill patternType="solid">
        <fgColor rgb="FFFFFF00"/>
        <bgColor indexed="64"/>
      </patternFill>
    </fill>
    <fill>
      <patternFill patternType="solid">
        <fgColor theme="0" tint="-0.24994659260841701"/>
        <bgColor indexed="64"/>
      </patternFill>
    </fill>
    <fill>
      <patternFill patternType="solid">
        <fgColor rgb="FF00B7EB"/>
        <bgColor indexed="64"/>
      </patternFill>
    </fill>
    <fill>
      <patternFill patternType="solid">
        <fgColor theme="0"/>
        <bgColor theme="0"/>
      </patternFill>
    </fill>
    <fill>
      <patternFill patternType="solid">
        <fgColor indexed="65"/>
        <bgColor theme="0"/>
      </patternFill>
    </fill>
    <fill>
      <patternFill patternType="solid">
        <fgColor theme="1"/>
        <bgColor indexed="64"/>
      </patternFill>
    </fill>
    <fill>
      <patternFill patternType="solid">
        <fgColor theme="0" tint="-0.249977111117893"/>
        <bgColor indexed="64"/>
      </patternFill>
    </fill>
  </fills>
  <borders count="92">
    <border>
      <left/>
      <right/>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style="dashed">
        <color auto="1"/>
      </left>
      <right style="medium">
        <color auto="1"/>
      </right>
      <top style="thin">
        <color auto="1"/>
      </top>
      <bottom style="thin">
        <color auto="1"/>
      </bottom>
      <diagonal/>
    </border>
    <border>
      <left style="dashed">
        <color auto="1"/>
      </left>
      <right style="medium">
        <color auto="1"/>
      </right>
      <top style="thin">
        <color auto="1"/>
      </top>
      <bottom style="dashed">
        <color theme="0" tint="-0.34998626667073579"/>
      </bottom>
      <diagonal/>
    </border>
    <border>
      <left style="dashed">
        <color auto="1"/>
      </left>
      <right style="medium">
        <color auto="1"/>
      </right>
      <top style="dashed">
        <color theme="0" tint="-0.34998626667073579"/>
      </top>
      <bottom style="dashed">
        <color theme="0" tint="-0.34998626667073579"/>
      </bottom>
      <diagonal/>
    </border>
    <border>
      <left style="medium">
        <color auto="1"/>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dashed">
        <color auto="1"/>
      </left>
      <right style="dashed">
        <color auto="1"/>
      </right>
      <top style="thin">
        <color auto="1"/>
      </top>
      <bottom style="dashed">
        <color theme="0" tint="-0.34998626667073579"/>
      </bottom>
      <diagonal/>
    </border>
    <border>
      <left style="dashed">
        <color auto="1"/>
      </left>
      <right style="dashed">
        <color auto="1"/>
      </right>
      <top style="dashed">
        <color theme="0" tint="-0.34998626667073579"/>
      </top>
      <bottom style="dashed">
        <color theme="0" tint="-0.34998626667073579"/>
      </bottom>
      <diagonal/>
    </border>
    <border>
      <left style="dashed">
        <color auto="1"/>
      </left>
      <right style="dashed">
        <color auto="1"/>
      </right>
      <top style="dashed">
        <color theme="0" tint="-0.34998626667073579"/>
      </top>
      <bottom style="thin">
        <color auto="1"/>
      </bottom>
      <diagonal/>
    </border>
    <border>
      <left style="dashed">
        <color auto="1"/>
      </left>
      <right style="medium">
        <color auto="1"/>
      </right>
      <top style="dashed">
        <color theme="0" tint="-0.34998626667073579"/>
      </top>
      <bottom style="thin">
        <color auto="1"/>
      </bottom>
      <diagonal/>
    </border>
    <border>
      <left style="dashed">
        <color auto="1"/>
      </left>
      <right style="dashed">
        <color auto="1"/>
      </right>
      <top style="thin">
        <color auto="1"/>
      </top>
      <bottom style="thin">
        <color auto="1"/>
      </bottom>
      <diagonal/>
    </border>
    <border>
      <left style="dashed">
        <color auto="1"/>
      </left>
      <right style="dashed">
        <color auto="1"/>
      </right>
      <top style="thin">
        <color auto="1"/>
      </top>
      <bottom style="medium">
        <color auto="1"/>
      </bottom>
      <diagonal/>
    </border>
    <border>
      <left style="dashed">
        <color auto="1"/>
      </left>
      <right style="medium">
        <color auto="1"/>
      </right>
      <top style="thin">
        <color auto="1"/>
      </top>
      <bottom style="medium">
        <color auto="1"/>
      </bottom>
      <diagonal/>
    </border>
    <border>
      <left/>
      <right style="dashed">
        <color auto="1"/>
      </right>
      <top style="thin">
        <color auto="1"/>
      </top>
      <bottom style="medium">
        <color auto="1"/>
      </bottom>
      <diagonal/>
    </border>
    <border>
      <left/>
      <right style="medium">
        <color auto="1"/>
      </right>
      <top style="dashed">
        <color theme="0" tint="-0.34998626667073579"/>
      </top>
      <bottom style="dashed">
        <color theme="0" tint="-0.34998626667073579"/>
      </bottom>
      <diagonal/>
    </border>
    <border>
      <left/>
      <right style="medium">
        <color auto="1"/>
      </right>
      <top style="dashed">
        <color theme="0" tint="-0.34998626667073579"/>
      </top>
      <bottom style="medium">
        <color auto="1"/>
      </bottom>
      <diagonal/>
    </border>
    <border>
      <left style="medium">
        <color auto="1"/>
      </left>
      <right style="thin">
        <color auto="1"/>
      </right>
      <top style="thin">
        <color auto="1"/>
      </top>
      <bottom style="medium">
        <color auto="1"/>
      </bottom>
      <diagonal/>
    </border>
    <border>
      <left/>
      <right style="medium">
        <color auto="1"/>
      </right>
      <top/>
      <bottom style="dashed">
        <color theme="0" tint="-0.34998626667073579"/>
      </bottom>
      <diagonal/>
    </border>
    <border>
      <left style="medium">
        <color auto="1"/>
      </left>
      <right style="thin">
        <color auto="1"/>
      </right>
      <top style="thin">
        <color auto="1"/>
      </top>
      <bottom style="dashed">
        <color theme="0" tint="-0.34998626667073579"/>
      </bottom>
      <diagonal/>
    </border>
    <border>
      <left style="medium">
        <color auto="1"/>
      </left>
      <right style="thin">
        <color auto="1"/>
      </right>
      <top style="dashed">
        <color theme="0" tint="-0.34998626667073579"/>
      </top>
      <bottom style="dashed">
        <color theme="0" tint="-0.34998626667073579"/>
      </bottom>
      <diagonal/>
    </border>
    <border>
      <left style="medium">
        <color auto="1"/>
      </left>
      <right style="thin">
        <color auto="1"/>
      </right>
      <top style="dashed">
        <color theme="0" tint="-0.34998626667073579"/>
      </top>
      <bottom style="medium">
        <color auto="1"/>
      </bottom>
      <diagonal/>
    </border>
    <border>
      <left/>
      <right style="dashed">
        <color auto="1"/>
      </right>
      <top style="thin">
        <color auto="1"/>
      </top>
      <bottom style="thin">
        <color auto="1"/>
      </bottom>
      <diagonal/>
    </border>
    <border>
      <left/>
      <right style="dashed">
        <color auto="1"/>
      </right>
      <top style="thin">
        <color auto="1"/>
      </top>
      <bottom style="dashed">
        <color theme="0" tint="-0.34998626667073579"/>
      </bottom>
      <diagonal/>
    </border>
    <border>
      <left/>
      <right style="dashed">
        <color auto="1"/>
      </right>
      <top style="dashed">
        <color theme="0" tint="-0.34998626667073579"/>
      </top>
      <bottom style="dashed">
        <color theme="0" tint="-0.34998626667073579"/>
      </bottom>
      <diagonal/>
    </border>
    <border>
      <left style="medium">
        <color auto="1"/>
      </left>
      <right style="thin">
        <color auto="1"/>
      </right>
      <top style="thin">
        <color auto="1"/>
      </top>
      <bottom style="thin">
        <color auto="1"/>
      </bottom>
      <diagonal/>
    </border>
    <border>
      <left style="medium">
        <color auto="1"/>
      </left>
      <right style="thin">
        <color auto="1"/>
      </right>
      <top style="dashed">
        <color theme="0" tint="-0.34998626667073579"/>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medium">
        <color auto="1"/>
      </left>
      <right style="dashed">
        <color auto="1"/>
      </right>
      <top style="thin">
        <color auto="1"/>
      </top>
      <bottom style="dashed">
        <color theme="0" tint="-0.24994659260841701"/>
      </bottom>
      <diagonal/>
    </border>
    <border>
      <left style="dashed">
        <color auto="1"/>
      </left>
      <right style="thin">
        <color auto="1"/>
      </right>
      <top style="thin">
        <color auto="1"/>
      </top>
      <bottom style="dashed">
        <color theme="0" tint="-0.24994659260841701"/>
      </bottom>
      <diagonal/>
    </border>
    <border>
      <left style="medium">
        <color auto="1"/>
      </left>
      <right style="dashed">
        <color auto="1"/>
      </right>
      <top style="dashed">
        <color theme="0" tint="-0.24994659260841701"/>
      </top>
      <bottom style="dashed">
        <color theme="0" tint="-0.24994659260841701"/>
      </bottom>
      <diagonal/>
    </border>
    <border>
      <left style="dashed">
        <color auto="1"/>
      </left>
      <right style="thin">
        <color auto="1"/>
      </right>
      <top style="dashed">
        <color theme="0" tint="-0.24994659260841701"/>
      </top>
      <bottom style="dashed">
        <color theme="0" tint="-0.24994659260841701"/>
      </bottom>
      <diagonal/>
    </border>
    <border>
      <left style="medium">
        <color auto="1"/>
      </left>
      <right style="dashed">
        <color auto="1"/>
      </right>
      <top style="dashed">
        <color theme="0" tint="-0.24994659260841701"/>
      </top>
      <bottom style="medium">
        <color auto="1"/>
      </bottom>
      <diagonal/>
    </border>
    <border>
      <left style="dashed">
        <color auto="1"/>
      </left>
      <right style="thin">
        <color auto="1"/>
      </right>
      <top style="dashed">
        <color theme="0" tint="-0.24994659260841701"/>
      </top>
      <bottom style="medium">
        <color auto="1"/>
      </bottom>
      <diagonal/>
    </border>
    <border>
      <left style="thin">
        <color auto="1"/>
      </left>
      <right style="dashed">
        <color auto="1"/>
      </right>
      <top style="thin">
        <color auto="1"/>
      </top>
      <bottom style="dashed">
        <color theme="0" tint="-0.24994659260841701"/>
      </bottom>
      <diagonal/>
    </border>
    <border>
      <left style="thin">
        <color auto="1"/>
      </left>
      <right style="dashed">
        <color auto="1"/>
      </right>
      <top style="dashed">
        <color theme="0" tint="-0.24994659260841701"/>
      </top>
      <bottom style="dashed">
        <color theme="0" tint="-0.24994659260841701"/>
      </bottom>
      <diagonal/>
    </border>
    <border>
      <left style="thin">
        <color auto="1"/>
      </left>
      <right style="dashed">
        <color auto="1"/>
      </right>
      <top style="dashed">
        <color theme="0" tint="-0.24994659260841701"/>
      </top>
      <bottom style="medium">
        <color auto="1"/>
      </bottom>
      <diagonal/>
    </border>
    <border>
      <left style="dashed">
        <color auto="1"/>
      </left>
      <right style="medium">
        <color auto="1"/>
      </right>
      <top style="thin">
        <color auto="1"/>
      </top>
      <bottom style="dashed">
        <color theme="0" tint="-0.24994659260841701"/>
      </bottom>
      <diagonal/>
    </border>
    <border>
      <left style="dashed">
        <color auto="1"/>
      </left>
      <right style="medium">
        <color auto="1"/>
      </right>
      <top style="dashed">
        <color theme="0" tint="-0.24994659260841701"/>
      </top>
      <bottom style="dashed">
        <color theme="0" tint="-0.24994659260841701"/>
      </bottom>
      <diagonal/>
    </border>
    <border>
      <left style="dashed">
        <color auto="1"/>
      </left>
      <right style="medium">
        <color auto="1"/>
      </right>
      <top style="dashed">
        <color theme="0" tint="-0.24994659260841701"/>
      </top>
      <bottom style="medium">
        <color auto="1"/>
      </bottom>
      <diagonal/>
    </border>
    <border>
      <left style="medium">
        <color auto="1"/>
      </left>
      <right style="thin">
        <color auto="1"/>
      </right>
      <top style="medium">
        <color auto="1"/>
      </top>
      <bottom style="dashed">
        <color theme="0" tint="-0.24994659260841701"/>
      </bottom>
      <diagonal/>
    </border>
    <border>
      <left style="thin">
        <color auto="1"/>
      </left>
      <right style="medium">
        <color auto="1"/>
      </right>
      <top style="medium">
        <color auto="1"/>
      </top>
      <bottom style="dashed">
        <color theme="0" tint="-0.24994659260841701"/>
      </bottom>
      <diagonal/>
    </border>
    <border>
      <left style="medium">
        <color auto="1"/>
      </left>
      <right style="thin">
        <color auto="1"/>
      </right>
      <top style="dashed">
        <color theme="0" tint="-0.24994659260841701"/>
      </top>
      <bottom style="dashed">
        <color theme="0" tint="-0.24994659260841701"/>
      </bottom>
      <diagonal/>
    </border>
    <border>
      <left style="thin">
        <color auto="1"/>
      </left>
      <right style="medium">
        <color auto="1"/>
      </right>
      <top style="dashed">
        <color theme="0" tint="-0.24994659260841701"/>
      </top>
      <bottom style="dashed">
        <color theme="0" tint="-0.24994659260841701"/>
      </bottom>
      <diagonal/>
    </border>
    <border>
      <left style="medium">
        <color auto="1"/>
      </left>
      <right style="thin">
        <color auto="1"/>
      </right>
      <top style="dashed">
        <color theme="0" tint="-0.24994659260841701"/>
      </top>
      <bottom style="medium">
        <color auto="1"/>
      </bottom>
      <diagonal/>
    </border>
    <border>
      <left style="thin">
        <color auto="1"/>
      </left>
      <right style="medium">
        <color auto="1"/>
      </right>
      <top style="dashed">
        <color theme="0" tint="-0.24994659260841701"/>
      </top>
      <bottom style="medium">
        <color auto="1"/>
      </bottom>
      <diagonal/>
    </border>
    <border>
      <left style="medium">
        <color auto="1"/>
      </left>
      <right/>
      <top style="dashed">
        <color theme="0" tint="-0.24994659260841701"/>
      </top>
      <bottom style="dashed">
        <color theme="0" tint="-0.24994659260841701"/>
      </bottom>
      <diagonal/>
    </border>
    <border>
      <left style="medium">
        <color auto="1"/>
      </left>
      <right/>
      <top style="dashed">
        <color theme="0" tint="-0.24994659260841701"/>
      </top>
      <bottom style="medium">
        <color auto="1"/>
      </bottom>
      <diagonal/>
    </border>
    <border>
      <left style="medium">
        <color auto="1"/>
      </left>
      <right/>
      <top style="medium">
        <color auto="1"/>
      </top>
      <bottom style="dashed">
        <color theme="0" tint="-0.24994659260841701"/>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dashed">
        <color theme="0" tint="-0.24994659260841701"/>
      </bottom>
      <diagonal/>
    </border>
    <border>
      <left style="medium">
        <color auto="1"/>
      </left>
      <right style="medium">
        <color auto="1"/>
      </right>
      <top style="medium">
        <color auto="1"/>
      </top>
      <bottom style="dashed">
        <color theme="0" tint="-0.24994659260841701"/>
      </bottom>
      <diagonal/>
    </border>
    <border>
      <left style="medium">
        <color auto="1"/>
      </left>
      <right style="medium">
        <color auto="1"/>
      </right>
      <top style="dashed">
        <color theme="0" tint="-0.24994659260841701"/>
      </top>
      <bottom style="dashed">
        <color theme="0" tint="-0.24994659260841701"/>
      </bottom>
      <diagonal/>
    </border>
    <border>
      <left style="medium">
        <color auto="1"/>
      </left>
      <right style="medium">
        <color auto="1"/>
      </right>
      <top style="dashed">
        <color theme="0" tint="-0.24994659260841701"/>
      </top>
      <bottom style="medium">
        <color auto="1"/>
      </bottom>
      <diagonal/>
    </border>
    <border>
      <left style="medium">
        <color auto="1"/>
      </left>
      <right style="dashed">
        <color auto="1"/>
      </right>
      <top/>
      <bottom style="dashed">
        <color theme="0" tint="-0.24994659260841701"/>
      </bottom>
      <diagonal/>
    </border>
    <border>
      <left style="dashed">
        <color auto="1"/>
      </left>
      <right style="medium">
        <color auto="1"/>
      </right>
      <top/>
      <bottom style="dashed">
        <color theme="0" tint="-0.24994659260841701"/>
      </bottom>
      <diagonal/>
    </border>
    <border>
      <left style="medium">
        <color auto="1"/>
      </left>
      <right style="thin">
        <color auto="1"/>
      </right>
      <top/>
      <bottom style="dashed">
        <color theme="0" tint="-0.24994659260841701"/>
      </bottom>
      <diagonal/>
    </border>
    <border>
      <left style="thin">
        <color auto="1"/>
      </left>
      <right style="medium">
        <color auto="1"/>
      </right>
      <top/>
      <bottom style="dashed">
        <color theme="0" tint="-0.24994659260841701"/>
      </bottom>
      <diagonal/>
    </border>
    <border>
      <left style="medium">
        <color auto="1"/>
      </left>
      <right style="thin">
        <color auto="1"/>
      </right>
      <top style="dashed">
        <color theme="0" tint="-0.24994659260841701"/>
      </top>
      <bottom/>
      <diagonal/>
    </border>
    <border>
      <left style="thin">
        <color auto="1"/>
      </left>
      <right style="medium">
        <color auto="1"/>
      </right>
      <top style="dashed">
        <color theme="0" tint="-0.24994659260841701"/>
      </top>
      <bottom/>
      <diagonal/>
    </border>
    <border>
      <left style="medium">
        <color auto="1"/>
      </left>
      <right style="thin">
        <color auto="1"/>
      </right>
      <top style="thin">
        <color auto="1"/>
      </top>
      <bottom style="dashed">
        <color theme="0" tint="-0.24994659260841701"/>
      </bottom>
      <diagonal/>
    </border>
    <border>
      <left style="thin">
        <color auto="1"/>
      </left>
      <right style="medium">
        <color auto="1"/>
      </right>
      <top style="thin">
        <color auto="1"/>
      </top>
      <bottom style="dashed">
        <color theme="0" tint="-0.24994659260841701"/>
      </bottom>
      <diagonal/>
    </border>
    <border>
      <left style="medium">
        <color auto="1"/>
      </left>
      <right style="thin">
        <color auto="1"/>
      </right>
      <top style="dashed">
        <color theme="0" tint="-0.24994659260841701"/>
      </top>
      <bottom style="thin">
        <color auto="1"/>
      </bottom>
      <diagonal/>
    </border>
    <border>
      <left style="thin">
        <color auto="1"/>
      </left>
      <right style="medium">
        <color auto="1"/>
      </right>
      <top style="dashed">
        <color theme="0" tint="-0.24994659260841701"/>
      </top>
      <bottom style="thin">
        <color auto="1"/>
      </bottom>
      <diagonal/>
    </border>
    <border>
      <left style="medium">
        <color auto="1"/>
      </left>
      <right style="dashed">
        <color auto="1"/>
      </right>
      <top style="dashed">
        <color theme="0" tint="-0.24994659260841701"/>
      </top>
      <bottom/>
      <diagonal/>
    </border>
    <border>
      <left style="dashed">
        <color auto="1"/>
      </left>
      <right style="medium">
        <color auto="1"/>
      </right>
      <top style="dashed">
        <color theme="0" tint="-0.24994659260841701"/>
      </top>
      <bottom/>
      <diagonal/>
    </border>
    <border>
      <left style="thin">
        <color auto="1"/>
      </left>
      <right style="medium">
        <color auto="1"/>
      </right>
      <top style="dashed">
        <color theme="0" tint="-0.14996795556505021"/>
      </top>
      <bottom style="medium">
        <color auto="1"/>
      </bottom>
      <diagonal/>
    </border>
    <border>
      <left style="medium">
        <color auto="1"/>
      </left>
      <right style="medium">
        <color auto="1"/>
      </right>
      <top/>
      <bottom style="dashed">
        <color theme="0" tint="-0.24994659260841701"/>
      </bottom>
      <diagonal/>
    </border>
    <border>
      <left/>
      <right style="medium">
        <color auto="1"/>
      </right>
      <top style="medium">
        <color auto="1"/>
      </top>
      <bottom style="dashed">
        <color theme="0" tint="-0.24994659260841701"/>
      </bottom>
      <diagonal/>
    </border>
    <border>
      <left/>
      <right style="medium">
        <color auto="1"/>
      </right>
      <top style="dashed">
        <color theme="0" tint="-0.24994659260841701"/>
      </top>
      <bottom style="dashed">
        <color theme="0" tint="-0.24994659260841701"/>
      </bottom>
      <diagonal/>
    </border>
    <border>
      <left style="double">
        <color auto="1"/>
      </left>
      <right style="double">
        <color auto="1"/>
      </right>
      <top style="double">
        <color auto="1"/>
      </top>
      <bottom/>
      <diagonal/>
    </border>
    <border>
      <left style="double">
        <color auto="1"/>
      </left>
      <right style="double">
        <color auto="1"/>
      </right>
      <top/>
      <bottom style="double">
        <color auto="1"/>
      </bottom>
      <diagonal/>
    </border>
    <border>
      <left/>
      <right/>
      <top style="medium">
        <color auto="1"/>
      </top>
      <bottom style="medium">
        <color auto="1"/>
      </bottom>
      <diagonal/>
    </border>
    <border>
      <left style="medium">
        <color auto="1"/>
      </left>
      <right style="thin">
        <color auto="1"/>
      </right>
      <top/>
      <bottom/>
      <diagonal/>
    </border>
    <border>
      <left/>
      <right style="dashed">
        <color auto="1"/>
      </right>
      <top/>
      <bottom/>
      <diagonal/>
    </border>
    <border>
      <left style="dashed">
        <color auto="1"/>
      </left>
      <right style="dashed">
        <color auto="1"/>
      </right>
      <top/>
      <bottom/>
      <diagonal/>
    </border>
    <border>
      <left style="dashed">
        <color auto="1"/>
      </left>
      <right style="medium">
        <color auto="1"/>
      </right>
      <top/>
      <bottom/>
      <diagonal/>
    </border>
  </borders>
  <cellStyleXfs count="3">
    <xf numFmtId="0" fontId="0" fillId="0" borderId="0"/>
    <xf numFmtId="9" fontId="1" fillId="0" borderId="0" applyFont="0" applyFill="0" applyBorder="0" applyAlignment="0" applyProtection="0"/>
    <xf numFmtId="43" fontId="1" fillId="0" borderId="0" applyFont="0" applyFill="0" applyBorder="0" applyAlignment="0" applyProtection="0"/>
  </cellStyleXfs>
  <cellXfs count="306">
    <xf numFmtId="0" fontId="0" fillId="0" borderId="0" xfId="0"/>
    <xf numFmtId="0" fontId="0" fillId="2" borderId="0" xfId="0" applyFill="1"/>
    <xf numFmtId="9" fontId="0" fillId="2" borderId="17" xfId="1" applyFont="1" applyFill="1" applyBorder="1" applyAlignment="1">
      <alignment horizontal="center" vertical="center"/>
    </xf>
    <xf numFmtId="9" fontId="0" fillId="2" borderId="18" xfId="1" applyFont="1" applyFill="1" applyBorder="1" applyAlignment="1">
      <alignment horizontal="center" vertical="center"/>
    </xf>
    <xf numFmtId="9" fontId="0" fillId="2" borderId="19" xfId="1" applyFont="1" applyFill="1" applyBorder="1" applyAlignment="1">
      <alignment horizontal="center" vertical="center"/>
    </xf>
    <xf numFmtId="0" fontId="0" fillId="2" borderId="30" xfId="0" applyFill="1" applyBorder="1" applyAlignment="1">
      <alignment horizontal="center" vertical="center"/>
    </xf>
    <xf numFmtId="0" fontId="0" fillId="2" borderId="36" xfId="0" applyFill="1" applyBorder="1" applyAlignment="1">
      <alignment horizontal="center" vertical="center"/>
    </xf>
    <xf numFmtId="3" fontId="0" fillId="2" borderId="33" xfId="1" applyNumberFormat="1" applyFont="1" applyFill="1" applyBorder="1" applyAlignment="1">
      <alignment horizontal="center" vertical="center"/>
    </xf>
    <xf numFmtId="3" fontId="0" fillId="2" borderId="34" xfId="1" applyNumberFormat="1" applyFont="1" applyFill="1" applyBorder="1" applyAlignment="1">
      <alignment horizontal="center" vertical="center"/>
    </xf>
    <xf numFmtId="165" fontId="0" fillId="2" borderId="17" xfId="2" applyNumberFormat="1" applyFont="1" applyFill="1" applyBorder="1" applyAlignment="1">
      <alignment horizontal="center" vertical="center"/>
    </xf>
    <xf numFmtId="165" fontId="0" fillId="2" borderId="18" xfId="2" applyNumberFormat="1" applyFont="1" applyFill="1" applyBorder="1" applyAlignment="1">
      <alignment horizontal="center" vertical="center"/>
    </xf>
    <xf numFmtId="165" fontId="0" fillId="2" borderId="19" xfId="2" applyNumberFormat="1" applyFont="1" applyFill="1" applyBorder="1" applyAlignment="1">
      <alignment horizontal="center" vertical="center"/>
    </xf>
    <xf numFmtId="4" fontId="0" fillId="2" borderId="17" xfId="1" applyNumberFormat="1" applyFont="1" applyFill="1" applyBorder="1" applyAlignment="1">
      <alignment horizontal="center" vertical="center"/>
    </xf>
    <xf numFmtId="4" fontId="0" fillId="2" borderId="18" xfId="1" applyNumberFormat="1" applyFont="1" applyFill="1" applyBorder="1" applyAlignment="1">
      <alignment horizontal="center" vertical="center"/>
    </xf>
    <xf numFmtId="4" fontId="0" fillId="2" borderId="19" xfId="1" applyNumberFormat="1" applyFont="1" applyFill="1" applyBorder="1" applyAlignment="1">
      <alignment horizontal="center" vertical="center"/>
    </xf>
    <xf numFmtId="3" fontId="0" fillId="2" borderId="17" xfId="0" applyNumberFormat="1" applyFill="1" applyBorder="1" applyAlignment="1">
      <alignment horizontal="center" vertical="center"/>
    </xf>
    <xf numFmtId="4" fontId="0" fillId="2" borderId="4" xfId="0" applyNumberFormat="1" applyFill="1" applyBorder="1" applyAlignment="1">
      <alignment horizontal="center" vertical="center"/>
    </xf>
    <xf numFmtId="3" fontId="0" fillId="2" borderId="18" xfId="0" applyNumberFormat="1" applyFill="1" applyBorder="1" applyAlignment="1">
      <alignment horizontal="center" vertical="center"/>
    </xf>
    <xf numFmtId="4" fontId="0" fillId="2" borderId="5" xfId="0" applyNumberFormat="1" applyFill="1" applyBorder="1" applyAlignment="1">
      <alignment horizontal="center" vertical="center"/>
    </xf>
    <xf numFmtId="3" fontId="0" fillId="2" borderId="19" xfId="0" applyNumberFormat="1" applyFill="1" applyBorder="1" applyAlignment="1">
      <alignment horizontal="center" vertical="center"/>
    </xf>
    <xf numFmtId="4" fontId="0" fillId="2" borderId="20" xfId="0" applyNumberFormat="1" applyFill="1" applyBorder="1" applyAlignment="1">
      <alignment horizontal="center" vertical="center"/>
    </xf>
    <xf numFmtId="0" fontId="0" fillId="2" borderId="27" xfId="0" applyFill="1" applyBorder="1" applyAlignment="1">
      <alignment horizontal="center" vertical="center"/>
    </xf>
    <xf numFmtId="3" fontId="0" fillId="2" borderId="24" xfId="0" applyNumberFormat="1" applyFill="1" applyBorder="1" applyAlignment="1">
      <alignment horizontal="center" vertical="center"/>
    </xf>
    <xf numFmtId="9" fontId="0" fillId="2" borderId="22" xfId="0" applyNumberFormat="1" applyFill="1" applyBorder="1" applyAlignment="1">
      <alignment horizontal="center" vertical="center"/>
    </xf>
    <xf numFmtId="165" fontId="0" fillId="2" borderId="22" xfId="0" applyNumberFormat="1" applyFill="1" applyBorder="1" applyAlignment="1">
      <alignment horizontal="center" vertical="center"/>
    </xf>
    <xf numFmtId="4" fontId="0" fillId="2" borderId="22" xfId="0" applyNumberFormat="1" applyFill="1" applyBorder="1" applyAlignment="1">
      <alignment horizontal="center" vertical="center"/>
    </xf>
    <xf numFmtId="3" fontId="0" fillId="2" borderId="22" xfId="0" applyNumberFormat="1" applyFill="1" applyBorder="1" applyAlignment="1">
      <alignment horizontal="center" vertical="center"/>
    </xf>
    <xf numFmtId="4" fontId="0" fillId="2" borderId="23" xfId="0" applyNumberFormat="1" applyFill="1" applyBorder="1" applyAlignment="1">
      <alignment horizontal="center" vertical="center"/>
    </xf>
    <xf numFmtId="3" fontId="0" fillId="2" borderId="26" xfId="0" applyNumberFormat="1" applyFill="1" applyBorder="1" applyAlignment="1">
      <alignment horizontal="right" vertical="center"/>
    </xf>
    <xf numFmtId="0" fontId="0" fillId="5" borderId="35" xfId="0" applyFill="1" applyBorder="1" applyAlignment="1">
      <alignment horizontal="center" vertical="center"/>
    </xf>
    <xf numFmtId="0" fontId="0" fillId="5" borderId="32" xfId="0" applyFill="1" applyBorder="1" applyAlignment="1">
      <alignment horizontal="center" vertical="center" wrapText="1"/>
    </xf>
    <xf numFmtId="0" fontId="0" fillId="5" borderId="21" xfId="0" applyFill="1" applyBorder="1" applyAlignment="1">
      <alignment horizontal="center" vertical="center" wrapText="1"/>
    </xf>
    <xf numFmtId="0" fontId="0" fillId="5" borderId="3" xfId="0" applyFill="1" applyBorder="1" applyAlignment="1">
      <alignment horizontal="center" vertical="center" wrapText="1"/>
    </xf>
    <xf numFmtId="0" fontId="0" fillId="5" borderId="29" xfId="0" applyFill="1" applyBorder="1" applyAlignment="1">
      <alignment vertical="center"/>
    </xf>
    <xf numFmtId="164" fontId="0" fillId="2" borderId="28" xfId="0" applyNumberFormat="1" applyFill="1" applyBorder="1" applyAlignment="1">
      <alignment vertical="center"/>
    </xf>
    <xf numFmtId="0" fontId="0" fillId="5" borderId="30" xfId="0" applyFill="1" applyBorder="1" applyAlignment="1">
      <alignment vertical="center"/>
    </xf>
    <xf numFmtId="164" fontId="0" fillId="2" borderId="25" xfId="0" applyNumberFormat="1" applyFill="1" applyBorder="1" applyAlignment="1">
      <alignment vertical="center"/>
    </xf>
    <xf numFmtId="0" fontId="2" fillId="5" borderId="30" xfId="0" applyFont="1" applyFill="1" applyBorder="1" applyAlignment="1">
      <alignment vertical="center"/>
    </xf>
    <xf numFmtId="0" fontId="0" fillId="5" borderId="30" xfId="0" applyFill="1" applyBorder="1" applyAlignment="1">
      <alignment vertical="center" wrapText="1"/>
    </xf>
    <xf numFmtId="3" fontId="0" fillId="2" borderId="25" xfId="0" applyNumberFormat="1" applyFill="1" applyBorder="1" applyAlignment="1">
      <alignment vertical="center"/>
    </xf>
    <xf numFmtId="0" fontId="0" fillId="5" borderId="31" xfId="0" applyFill="1" applyBorder="1" applyAlignment="1">
      <alignment vertical="center" wrapText="1"/>
    </xf>
    <xf numFmtId="0" fontId="0" fillId="2" borderId="53" xfId="0" applyFill="1" applyBorder="1"/>
    <xf numFmtId="0" fontId="0" fillId="2" borderId="55" xfId="0" applyFill="1" applyBorder="1"/>
    <xf numFmtId="0" fontId="2" fillId="2" borderId="55" xfId="0" applyFont="1" applyFill="1" applyBorder="1" applyAlignment="1">
      <alignment wrapText="1"/>
    </xf>
    <xf numFmtId="0" fontId="0" fillId="2" borderId="57" xfId="0" applyFill="1" applyBorder="1"/>
    <xf numFmtId="0" fontId="0" fillId="2" borderId="55" xfId="0" applyFill="1" applyBorder="1" applyAlignment="1">
      <alignment wrapText="1"/>
    </xf>
    <xf numFmtId="0" fontId="0" fillId="2" borderId="53" xfId="0" applyFill="1" applyBorder="1" applyAlignment="1">
      <alignment wrapText="1"/>
    </xf>
    <xf numFmtId="0" fontId="0" fillId="2" borderId="56" xfId="0" applyFill="1" applyBorder="1" applyAlignment="1">
      <alignment horizontal="left"/>
    </xf>
    <xf numFmtId="3" fontId="0" fillId="2" borderId="56" xfId="0" applyNumberFormat="1" applyFill="1" applyBorder="1" applyAlignment="1">
      <alignment horizontal="left"/>
    </xf>
    <xf numFmtId="167" fontId="0" fillId="2" borderId="56" xfId="0" applyNumberFormat="1" applyFill="1" applyBorder="1" applyAlignment="1">
      <alignment horizontal="left"/>
    </xf>
    <xf numFmtId="1" fontId="0" fillId="2" borderId="56" xfId="0" applyNumberFormat="1" applyFill="1" applyBorder="1" applyAlignment="1">
      <alignment horizontal="left"/>
    </xf>
    <xf numFmtId="0" fontId="0" fillId="2" borderId="57" xfId="0" applyFill="1" applyBorder="1" applyAlignment="1">
      <alignment wrapText="1"/>
    </xf>
    <xf numFmtId="1" fontId="0" fillId="2" borderId="58" xfId="0" applyNumberFormat="1" applyFill="1" applyBorder="1" applyAlignment="1">
      <alignment horizontal="left"/>
    </xf>
    <xf numFmtId="2" fontId="0" fillId="2" borderId="54" xfId="0" applyNumberFormat="1" applyFill="1" applyBorder="1" applyAlignment="1">
      <alignment horizontal="left"/>
    </xf>
    <xf numFmtId="2" fontId="0" fillId="2" borderId="56" xfId="0" quotePrefix="1" applyNumberFormat="1" applyFill="1" applyBorder="1" applyAlignment="1">
      <alignment horizontal="left"/>
    </xf>
    <xf numFmtId="2" fontId="0" fillId="2" borderId="56" xfId="0" applyNumberFormat="1" applyFill="1" applyBorder="1" applyAlignment="1">
      <alignment horizontal="left"/>
    </xf>
    <xf numFmtId="11" fontId="0" fillId="2" borderId="54" xfId="0" applyNumberFormat="1" applyFill="1" applyBorder="1" applyAlignment="1">
      <alignment horizontal="left"/>
    </xf>
    <xf numFmtId="0" fontId="0" fillId="2" borderId="54" xfId="0" applyFill="1" applyBorder="1" applyAlignment="1">
      <alignment horizontal="left"/>
    </xf>
    <xf numFmtId="0" fontId="0" fillId="2" borderId="0" xfId="0" applyFill="1" applyAlignment="1">
      <alignment vertical="center"/>
    </xf>
    <xf numFmtId="0" fontId="4" fillId="2" borderId="0" xfId="0" applyFont="1" applyFill="1" applyAlignment="1">
      <alignment vertical="center"/>
    </xf>
    <xf numFmtId="0" fontId="0" fillId="2" borderId="53" xfId="0" applyFill="1" applyBorder="1" applyAlignment="1">
      <alignment vertical="center" wrapText="1"/>
    </xf>
    <xf numFmtId="2" fontId="0" fillId="2" borderId="54" xfId="0" applyNumberFormat="1" applyFill="1" applyBorder="1" applyAlignment="1">
      <alignment vertical="center" wrapText="1"/>
    </xf>
    <xf numFmtId="0" fontId="2" fillId="2" borderId="55" xfId="0" applyFont="1" applyFill="1" applyBorder="1" applyAlignment="1">
      <alignment vertical="center" wrapText="1"/>
    </xf>
    <xf numFmtId="0" fontId="0" fillId="2" borderId="57" xfId="0" applyFill="1" applyBorder="1" applyAlignment="1">
      <alignment vertical="center" wrapText="1"/>
    </xf>
    <xf numFmtId="2" fontId="0" fillId="2" borderId="54" xfId="0" applyNumberFormat="1" applyFill="1" applyBorder="1" applyAlignment="1">
      <alignment vertical="center"/>
    </xf>
    <xf numFmtId="0" fontId="0" fillId="2" borderId="53" xfId="0" applyFill="1" applyBorder="1" applyAlignment="1">
      <alignment vertical="center"/>
    </xf>
    <xf numFmtId="0" fontId="0" fillId="2" borderId="55" xfId="0" applyFill="1" applyBorder="1" applyAlignment="1">
      <alignment vertical="center"/>
    </xf>
    <xf numFmtId="166" fontId="0" fillId="2" borderId="56" xfId="0" applyNumberFormat="1" applyFill="1" applyBorder="1" applyAlignment="1">
      <alignment vertical="center"/>
    </xf>
    <xf numFmtId="0" fontId="0" fillId="2" borderId="57" xfId="0" applyFill="1" applyBorder="1" applyAlignment="1">
      <alignment vertical="center"/>
    </xf>
    <xf numFmtId="0" fontId="0" fillId="2" borderId="54" xfId="0" applyFill="1" applyBorder="1" applyAlignment="1">
      <alignment vertical="center"/>
    </xf>
    <xf numFmtId="0" fontId="10" fillId="2" borderId="0" xfId="0" applyFont="1" applyFill="1" applyAlignment="1">
      <alignment vertical="center"/>
    </xf>
    <xf numFmtId="0" fontId="2" fillId="2" borderId="57" xfId="0" applyFont="1" applyFill="1" applyBorder="1" applyAlignment="1">
      <alignment wrapText="1"/>
    </xf>
    <xf numFmtId="0" fontId="12" fillId="2" borderId="0" xfId="0" applyFont="1" applyFill="1"/>
    <xf numFmtId="0" fontId="19" fillId="6" borderId="66" xfId="0" applyFont="1" applyFill="1" applyBorder="1" applyAlignment="1" applyProtection="1">
      <alignment horizontal="center" vertical="center"/>
      <protection locked="0"/>
    </xf>
    <xf numFmtId="0" fontId="19" fillId="6" borderId="67" xfId="0" applyFont="1" applyFill="1" applyBorder="1" applyAlignment="1" applyProtection="1">
      <alignment horizontal="center" vertical="center"/>
      <protection locked="0"/>
    </xf>
    <xf numFmtId="0" fontId="19" fillId="6" borderId="68" xfId="0" applyFont="1" applyFill="1" applyBorder="1" applyAlignment="1" applyProtection="1">
      <alignment horizontal="center" vertical="center"/>
      <protection locked="0"/>
    </xf>
    <xf numFmtId="0" fontId="0" fillId="2" borderId="39" xfId="0" applyFill="1" applyBorder="1" applyAlignment="1" applyProtection="1">
      <alignment vertical="center"/>
      <protection locked="0"/>
    </xf>
    <xf numFmtId="0" fontId="0" fillId="2" borderId="41" xfId="0" applyFill="1" applyBorder="1" applyAlignment="1" applyProtection="1">
      <alignment horizontal="right" vertical="center"/>
      <protection locked="0"/>
    </xf>
    <xf numFmtId="0" fontId="0" fillId="2" borderId="42" xfId="0" applyFill="1" applyBorder="1" applyAlignment="1" applyProtection="1">
      <alignment horizontal="right" vertical="center"/>
      <protection locked="0"/>
    </xf>
    <xf numFmtId="0" fontId="0" fillId="2" borderId="40" xfId="0" applyFill="1" applyBorder="1" applyAlignment="1" applyProtection="1">
      <alignment vertical="center"/>
      <protection locked="0"/>
    </xf>
    <xf numFmtId="0" fontId="0" fillId="2" borderId="47" xfId="0" applyFill="1" applyBorder="1" applyAlignment="1" applyProtection="1">
      <alignment horizontal="right" vertical="center"/>
      <protection locked="0"/>
    </xf>
    <xf numFmtId="0" fontId="0" fillId="2" borderId="50" xfId="0" applyFill="1" applyBorder="1" applyAlignment="1" applyProtection="1">
      <alignment horizontal="right" vertical="center"/>
      <protection locked="0"/>
    </xf>
    <xf numFmtId="0" fontId="0" fillId="2" borderId="43" xfId="0" applyFill="1" applyBorder="1" applyAlignment="1" applyProtection="1">
      <alignment horizontal="right" vertical="center"/>
      <protection locked="0"/>
    </xf>
    <xf numFmtId="0" fontId="0" fillId="2" borderId="44" xfId="0" applyFill="1" applyBorder="1" applyAlignment="1" applyProtection="1">
      <alignment horizontal="right" vertical="center"/>
      <protection locked="0"/>
    </xf>
    <xf numFmtId="0" fontId="0" fillId="2" borderId="48" xfId="0" applyFill="1" applyBorder="1" applyAlignment="1" applyProtection="1">
      <alignment horizontal="right" vertical="center"/>
      <protection locked="0"/>
    </xf>
    <xf numFmtId="0" fontId="0" fillId="2" borderId="0" xfId="0" applyFill="1" applyBorder="1" applyAlignment="1" applyProtection="1">
      <alignment vertical="center"/>
      <protection locked="0"/>
    </xf>
    <xf numFmtId="0" fontId="0" fillId="2" borderId="51" xfId="0" applyFill="1" applyBorder="1" applyAlignment="1" applyProtection="1">
      <alignment horizontal="right" vertical="center"/>
      <protection locked="0"/>
    </xf>
    <xf numFmtId="11" fontId="0" fillId="2" borderId="44" xfId="0" applyNumberFormat="1" applyFill="1" applyBorder="1" applyAlignment="1" applyProtection="1">
      <alignment horizontal="right" vertical="center"/>
      <protection locked="0"/>
    </xf>
    <xf numFmtId="11" fontId="0" fillId="2" borderId="51" xfId="0" applyNumberFormat="1" applyFill="1" applyBorder="1" applyAlignment="1" applyProtection="1">
      <alignment horizontal="right" vertical="center"/>
      <protection locked="0"/>
    </xf>
    <xf numFmtId="2" fontId="0" fillId="2" borderId="44" xfId="0" applyNumberFormat="1" applyFill="1" applyBorder="1" applyAlignment="1" applyProtection="1">
      <alignment horizontal="right" vertical="center"/>
      <protection locked="0"/>
    </xf>
    <xf numFmtId="2" fontId="0" fillId="2" borderId="51" xfId="0" applyNumberFormat="1" applyFill="1" applyBorder="1" applyAlignment="1" applyProtection="1">
      <alignment horizontal="right" vertical="center"/>
      <protection locked="0"/>
    </xf>
    <xf numFmtId="1" fontId="0" fillId="2" borderId="44" xfId="0" applyNumberFormat="1" applyFill="1" applyBorder="1" applyAlignment="1" applyProtection="1">
      <alignment horizontal="right" vertical="center"/>
      <protection locked="0"/>
    </xf>
    <xf numFmtId="1" fontId="0" fillId="2" borderId="51" xfId="0" applyNumberFormat="1" applyFill="1" applyBorder="1" applyAlignment="1" applyProtection="1">
      <alignment horizontal="right" vertical="center"/>
      <protection locked="0"/>
    </xf>
    <xf numFmtId="0" fontId="0" fillId="2" borderId="45" xfId="0" applyFill="1" applyBorder="1" applyAlignment="1" applyProtection="1">
      <alignment horizontal="right" vertical="center"/>
      <protection locked="0"/>
    </xf>
    <xf numFmtId="0" fontId="0" fillId="2" borderId="46" xfId="0" applyFill="1" applyBorder="1" applyAlignment="1" applyProtection="1">
      <alignment horizontal="right" vertical="center"/>
      <protection locked="0"/>
    </xf>
    <xf numFmtId="0" fontId="0" fillId="2" borderId="12" xfId="0" applyFill="1" applyBorder="1" applyAlignment="1" applyProtection="1">
      <alignment vertical="center"/>
      <protection locked="0"/>
    </xf>
    <xf numFmtId="0" fontId="0" fillId="2" borderId="49" xfId="0" applyFill="1" applyBorder="1" applyAlignment="1" applyProtection="1">
      <alignment horizontal="right" vertical="center"/>
      <protection locked="0"/>
    </xf>
    <xf numFmtId="0" fontId="0" fillId="2" borderId="52" xfId="0" applyFill="1" applyBorder="1" applyAlignment="1" applyProtection="1">
      <alignment horizontal="right" vertical="center"/>
      <protection locked="0"/>
    </xf>
    <xf numFmtId="170" fontId="0" fillId="2" borderId="56" xfId="0" applyNumberFormat="1" applyFill="1" applyBorder="1" applyAlignment="1">
      <alignment vertical="center"/>
    </xf>
    <xf numFmtId="170" fontId="0" fillId="2" borderId="58" xfId="0" applyNumberFormat="1" applyFill="1" applyBorder="1" applyAlignment="1">
      <alignment vertical="center"/>
    </xf>
    <xf numFmtId="166" fontId="0" fillId="2" borderId="56" xfId="0" applyNumberFormat="1" applyFill="1" applyBorder="1" applyAlignment="1">
      <alignment horizontal="left"/>
    </xf>
    <xf numFmtId="166" fontId="0" fillId="2" borderId="58" xfId="0" applyNumberFormat="1" applyFill="1" applyBorder="1" applyAlignment="1">
      <alignment horizontal="left"/>
    </xf>
    <xf numFmtId="170" fontId="0" fillId="2" borderId="56" xfId="0" applyNumberFormat="1" applyFill="1" applyBorder="1" applyAlignment="1">
      <alignment horizontal="left"/>
    </xf>
    <xf numFmtId="170" fontId="0" fillId="2" borderId="58" xfId="0" applyNumberFormat="1" applyFill="1" applyBorder="1" applyAlignment="1">
      <alignment horizontal="left"/>
    </xf>
    <xf numFmtId="1" fontId="0" fillId="2" borderId="58" xfId="0" applyNumberFormat="1" applyFill="1" applyBorder="1" applyAlignment="1">
      <alignment vertical="center"/>
    </xf>
    <xf numFmtId="1" fontId="0" fillId="2" borderId="56" xfId="0" applyNumberFormat="1" applyFill="1" applyBorder="1" applyAlignment="1">
      <alignment vertical="center"/>
    </xf>
    <xf numFmtId="3" fontId="0" fillId="2" borderId="0" xfId="0" applyNumberFormat="1" applyFill="1"/>
    <xf numFmtId="0" fontId="0" fillId="7" borderId="0" xfId="0" applyFill="1" applyProtection="1"/>
    <xf numFmtId="0" fontId="12" fillId="7" borderId="0" xfId="0" applyFont="1" applyFill="1" applyProtection="1"/>
    <xf numFmtId="0" fontId="0" fillId="2" borderId="0" xfId="0" applyFill="1" applyProtection="1"/>
    <xf numFmtId="0" fontId="12" fillId="2" borderId="0" xfId="0" applyFont="1" applyFill="1" applyProtection="1"/>
    <xf numFmtId="0" fontId="21" fillId="2" borderId="0" xfId="0" applyFont="1" applyFill="1" applyBorder="1" applyAlignment="1" applyProtection="1">
      <alignment vertical="center"/>
    </xf>
    <xf numFmtId="0" fontId="12" fillId="2" borderId="0" xfId="0" applyFont="1" applyFill="1" applyAlignment="1" applyProtection="1">
      <alignment wrapText="1"/>
    </xf>
    <xf numFmtId="0" fontId="12" fillId="2" borderId="0" xfId="0" applyFont="1" applyFill="1" applyBorder="1" applyAlignment="1" applyProtection="1">
      <alignment vertical="center" wrapText="1"/>
    </xf>
    <xf numFmtId="0" fontId="23" fillId="2" borderId="0" xfId="0" applyFont="1" applyFill="1" applyAlignment="1" applyProtection="1">
      <alignment wrapText="1"/>
    </xf>
    <xf numFmtId="0" fontId="12" fillId="9" borderId="0" xfId="0" applyFont="1" applyFill="1" applyBorder="1" applyAlignment="1" applyProtection="1">
      <alignment vertical="center" wrapText="1"/>
    </xf>
    <xf numFmtId="0" fontId="0" fillId="2" borderId="0" xfId="0" applyFill="1" applyAlignment="1" applyProtection="1">
      <alignment wrapText="1"/>
    </xf>
    <xf numFmtId="0" fontId="0" fillId="0" borderId="0" xfId="0" applyAlignment="1" applyProtection="1"/>
    <xf numFmtId="0" fontId="40" fillId="2" borderId="0" xfId="0" applyFont="1" applyFill="1" applyProtection="1"/>
    <xf numFmtId="0" fontId="31" fillId="2" borderId="85" xfId="0" applyFont="1" applyFill="1" applyBorder="1" applyAlignment="1" applyProtection="1">
      <alignment horizontal="center" wrapText="1"/>
    </xf>
    <xf numFmtId="0" fontId="19" fillId="2" borderId="86" xfId="0" applyFont="1" applyFill="1" applyBorder="1" applyAlignment="1" applyProtection="1">
      <alignment vertical="top" wrapText="1"/>
    </xf>
    <xf numFmtId="10" fontId="19" fillId="6" borderId="83" xfId="1" applyNumberFormat="1" applyFont="1" applyFill="1" applyBorder="1" applyAlignment="1" applyProtection="1">
      <alignment horizontal="center" vertical="center"/>
      <protection locked="0"/>
    </xf>
    <xf numFmtId="10" fontId="19" fillId="6" borderId="28" xfId="1" applyNumberFormat="1" applyFont="1" applyFill="1" applyBorder="1" applyAlignment="1" applyProtection="1">
      <alignment horizontal="center" vertical="center"/>
      <protection locked="0"/>
    </xf>
    <xf numFmtId="10" fontId="19" fillId="6" borderId="84" xfId="1" applyNumberFormat="1" applyFont="1" applyFill="1" applyBorder="1" applyAlignment="1" applyProtection="1">
      <alignment horizontal="center" vertical="center"/>
      <protection locked="0"/>
    </xf>
    <xf numFmtId="10" fontId="19" fillId="6" borderId="25" xfId="1" applyNumberFormat="1" applyFont="1" applyFill="1" applyBorder="1" applyAlignment="1" applyProtection="1">
      <alignment horizontal="center" vertical="center"/>
      <protection locked="0"/>
    </xf>
    <xf numFmtId="0" fontId="19" fillId="6" borderId="82" xfId="0" applyFont="1" applyFill="1" applyBorder="1" applyAlignment="1" applyProtection="1">
      <alignment horizontal="center" vertical="center"/>
      <protection locked="0"/>
    </xf>
    <xf numFmtId="10" fontId="19" fillId="6" borderId="26" xfId="1" applyNumberFormat="1" applyFont="1" applyFill="1" applyBorder="1" applyAlignment="1" applyProtection="1">
      <alignment horizontal="center" vertical="center"/>
      <protection locked="0"/>
    </xf>
    <xf numFmtId="168" fontId="19" fillId="6" borderId="66" xfId="2" applyNumberFormat="1" applyFont="1" applyFill="1" applyBorder="1" applyAlignment="1" applyProtection="1">
      <alignment horizontal="center" vertical="center"/>
      <protection locked="0"/>
    </xf>
    <xf numFmtId="10" fontId="19" fillId="8" borderId="68" xfId="1" applyNumberFormat="1" applyFont="1" applyFill="1" applyBorder="1" applyAlignment="1" applyProtection="1">
      <alignment horizontal="center" vertical="center"/>
    </xf>
    <xf numFmtId="0" fontId="12" fillId="2" borderId="69" xfId="0" applyFont="1" applyFill="1" applyBorder="1" applyAlignment="1" applyProtection="1">
      <alignment horizontal="left" vertical="center" wrapText="1"/>
    </xf>
    <xf numFmtId="0" fontId="12" fillId="9" borderId="69" xfId="0" applyFont="1" applyFill="1" applyBorder="1" applyAlignment="1" applyProtection="1">
      <alignment horizontal="left" vertical="center" wrapText="1"/>
    </xf>
    <xf numFmtId="0" fontId="12" fillId="2" borderId="79" xfId="0" applyFont="1" applyFill="1" applyBorder="1" applyAlignment="1" applyProtection="1">
      <alignment horizontal="left" vertical="center" wrapText="1"/>
    </xf>
    <xf numFmtId="0" fontId="12" fillId="2" borderId="45" xfId="0" applyFont="1" applyFill="1" applyBorder="1" applyAlignment="1" applyProtection="1">
      <alignment horizontal="left" vertical="center" wrapText="1"/>
    </xf>
    <xf numFmtId="0" fontId="12" fillId="2" borderId="70" xfId="0" applyFont="1" applyFill="1" applyBorder="1" applyAlignment="1" applyProtection="1">
      <alignment horizontal="center" vertical="center" wrapText="1"/>
    </xf>
    <xf numFmtId="168" fontId="12" fillId="2" borderId="51" xfId="2" applyNumberFormat="1" applyFont="1" applyFill="1" applyBorder="1" applyAlignment="1" applyProtection="1">
      <alignment horizontal="center" vertical="center" wrapText="1"/>
    </xf>
    <xf numFmtId="0" fontId="12" fillId="9" borderId="10" xfId="0" applyFont="1" applyFill="1" applyBorder="1" applyAlignment="1" applyProtection="1">
      <alignment horizontal="center" vertical="center" wrapText="1"/>
    </xf>
    <xf numFmtId="0" fontId="12" fillId="2" borderId="51" xfId="0" applyFont="1" applyFill="1" applyBorder="1" applyAlignment="1" applyProtection="1">
      <alignment horizontal="center" vertical="center" wrapText="1"/>
    </xf>
    <xf numFmtId="164" fontId="12" fillId="2" borderId="51" xfId="0" applyNumberFormat="1" applyFont="1" applyFill="1" applyBorder="1" applyAlignment="1" applyProtection="1">
      <alignment horizontal="center" vertical="center" wrapText="1"/>
    </xf>
    <xf numFmtId="169" fontId="12" fillId="2" borderId="80" xfId="0" applyNumberFormat="1" applyFont="1" applyFill="1" applyBorder="1" applyAlignment="1" applyProtection="1">
      <alignment horizontal="center" vertical="center" wrapText="1"/>
    </xf>
    <xf numFmtId="168" fontId="12" fillId="2" borderId="52" xfId="2" applyNumberFormat="1" applyFont="1" applyFill="1" applyBorder="1" applyAlignment="1" applyProtection="1">
      <alignment horizontal="center" vertical="center" wrapText="1"/>
    </xf>
    <xf numFmtId="168" fontId="12" fillId="2" borderId="70" xfId="2" applyNumberFormat="1" applyFont="1" applyFill="1" applyBorder="1" applyAlignment="1" applyProtection="1">
      <alignment horizontal="center" vertical="center" wrapText="1"/>
    </xf>
    <xf numFmtId="0" fontId="12" fillId="9" borderId="70" xfId="0" applyFont="1" applyFill="1" applyBorder="1" applyAlignment="1" applyProtection="1">
      <alignment horizontal="center" vertical="center" wrapText="1"/>
    </xf>
    <xf numFmtId="0" fontId="12" fillId="2" borderId="71" xfId="0" applyFont="1" applyFill="1" applyBorder="1" applyAlignment="1" applyProtection="1">
      <alignment horizontal="left" vertical="center"/>
    </xf>
    <xf numFmtId="0" fontId="12" fillId="2" borderId="55" xfId="0" applyFont="1" applyFill="1" applyBorder="1" applyAlignment="1" applyProtection="1">
      <alignment horizontal="left" vertical="center"/>
    </xf>
    <xf numFmtId="0" fontId="12" fillId="2" borderId="55" xfId="0" applyFont="1" applyFill="1" applyBorder="1" applyAlignment="1" applyProtection="1">
      <alignment horizontal="left" vertical="center" wrapText="1"/>
    </xf>
    <xf numFmtId="0" fontId="12" fillId="2" borderId="73" xfId="0" applyFont="1" applyFill="1" applyBorder="1" applyAlignment="1" applyProtection="1">
      <alignment horizontal="left" vertical="center"/>
    </xf>
    <xf numFmtId="0" fontId="12" fillId="2" borderId="75" xfId="0" applyFont="1" applyFill="1" applyBorder="1" applyAlignment="1" applyProtection="1">
      <alignment horizontal="left" vertical="center"/>
    </xf>
    <xf numFmtId="0" fontId="12" fillId="2" borderId="77" xfId="0" applyFont="1" applyFill="1" applyBorder="1" applyAlignment="1" applyProtection="1">
      <alignment horizontal="left" vertical="center"/>
    </xf>
    <xf numFmtId="0" fontId="12" fillId="2" borderId="73" xfId="0" applyFont="1" applyFill="1" applyBorder="1" applyAlignment="1" applyProtection="1">
      <alignment horizontal="left" vertical="center" wrapText="1"/>
    </xf>
    <xf numFmtId="0" fontId="12" fillId="2" borderId="57" xfId="0" applyFont="1" applyFill="1" applyBorder="1" applyAlignment="1" applyProtection="1">
      <alignment horizontal="left" vertical="center" wrapText="1"/>
    </xf>
    <xf numFmtId="2" fontId="12" fillId="2" borderId="72" xfId="0" applyNumberFormat="1" applyFont="1" applyFill="1" applyBorder="1" applyAlignment="1" applyProtection="1">
      <alignment horizontal="center" vertical="center"/>
    </xf>
    <xf numFmtId="2" fontId="12" fillId="2" borderId="56" xfId="0" quotePrefix="1" applyNumberFormat="1" applyFont="1" applyFill="1" applyBorder="1" applyAlignment="1" applyProtection="1">
      <alignment horizontal="center" vertical="center"/>
    </xf>
    <xf numFmtId="164" fontId="12" fillId="2" borderId="56" xfId="0" applyNumberFormat="1" applyFont="1" applyFill="1" applyBorder="1" applyAlignment="1" applyProtection="1">
      <alignment horizontal="center" vertical="center"/>
    </xf>
    <xf numFmtId="169" fontId="12" fillId="2" borderId="74" xfId="0" applyNumberFormat="1" applyFont="1" applyFill="1" applyBorder="1" applyAlignment="1" applyProtection="1">
      <alignment horizontal="center" vertical="center"/>
    </xf>
    <xf numFmtId="2" fontId="12" fillId="2" borderId="76" xfId="0" applyNumberFormat="1" applyFont="1" applyFill="1" applyBorder="1" applyAlignment="1" applyProtection="1">
      <alignment horizontal="center" vertical="center"/>
    </xf>
    <xf numFmtId="2" fontId="12" fillId="2" borderId="56" xfId="0" applyNumberFormat="1" applyFont="1" applyFill="1" applyBorder="1" applyAlignment="1" applyProtection="1">
      <alignment horizontal="center" vertical="center"/>
    </xf>
    <xf numFmtId="169" fontId="12" fillId="2" borderId="78" xfId="0" applyNumberFormat="1" applyFont="1" applyFill="1" applyBorder="1" applyAlignment="1" applyProtection="1">
      <alignment horizontal="center" vertical="center"/>
    </xf>
    <xf numFmtId="11" fontId="12" fillId="2" borderId="76" xfId="0" applyNumberFormat="1" applyFont="1" applyFill="1" applyBorder="1" applyAlignment="1" applyProtection="1">
      <alignment horizontal="center" vertical="center"/>
    </xf>
    <xf numFmtId="0" fontId="12" fillId="2" borderId="56" xfId="0" applyFont="1" applyFill="1" applyBorder="1" applyAlignment="1" applyProtection="1">
      <alignment horizontal="center" vertical="center"/>
    </xf>
    <xf numFmtId="164" fontId="12" fillId="2" borderId="74" xfId="0" applyNumberFormat="1" applyFont="1" applyFill="1" applyBorder="1" applyAlignment="1" applyProtection="1">
      <alignment horizontal="center" vertical="center"/>
    </xf>
    <xf numFmtId="168" fontId="12" fillId="2" borderId="81" xfId="2" applyNumberFormat="1" applyFont="1" applyFill="1" applyBorder="1" applyAlignment="1" applyProtection="1">
      <alignment horizontal="center" vertical="center"/>
    </xf>
    <xf numFmtId="0" fontId="16" fillId="2" borderId="0" xfId="0" applyFont="1" applyFill="1" applyProtection="1"/>
    <xf numFmtId="0" fontId="19" fillId="8" borderId="67" xfId="0" applyFont="1" applyFill="1" applyBorder="1" applyAlignment="1" applyProtection="1">
      <alignment horizontal="center" vertical="center"/>
    </xf>
    <xf numFmtId="0" fontId="12" fillId="7" borderId="0" xfId="0" applyFont="1" applyFill="1" applyAlignment="1" applyProtection="1">
      <alignment horizontal="center"/>
    </xf>
    <xf numFmtId="0" fontId="19" fillId="7" borderId="0" xfId="0" applyFont="1" applyFill="1" applyProtection="1"/>
    <xf numFmtId="0" fontId="19" fillId="7" borderId="0" xfId="0" applyFont="1" applyFill="1" applyAlignment="1" applyProtection="1">
      <alignment horizontal="center"/>
    </xf>
    <xf numFmtId="0" fontId="14" fillId="7" borderId="0" xfId="0" applyFont="1" applyFill="1" applyAlignment="1" applyProtection="1">
      <alignment horizontal="center"/>
    </xf>
    <xf numFmtId="0" fontId="19" fillId="10" borderId="0" xfId="0" applyFont="1" applyFill="1" applyBorder="1" applyProtection="1"/>
    <xf numFmtId="0" fontId="15" fillId="10" borderId="0" xfId="0" applyFont="1" applyFill="1" applyBorder="1" applyAlignment="1" applyProtection="1">
      <alignment horizontal="left" vertical="top" wrapText="1"/>
    </xf>
    <xf numFmtId="0" fontId="15" fillId="10" borderId="0" xfId="0" applyFont="1" applyFill="1" applyBorder="1" applyAlignment="1" applyProtection="1">
      <alignment horizontal="left" vertical="top"/>
    </xf>
    <xf numFmtId="0" fontId="15" fillId="7" borderId="0" xfId="0" applyFont="1" applyFill="1" applyBorder="1" applyAlignment="1" applyProtection="1">
      <alignment horizontal="left" vertical="top"/>
    </xf>
    <xf numFmtId="0" fontId="12" fillId="7" borderId="0" xfId="0" applyFont="1" applyFill="1" applyAlignment="1" applyProtection="1">
      <alignment horizontal="center" vertical="center"/>
    </xf>
    <xf numFmtId="0" fontId="19" fillId="2" borderId="0" xfId="0" applyFont="1" applyFill="1" applyAlignment="1" applyProtection="1">
      <alignment horizontal="center" vertical="center"/>
    </xf>
    <xf numFmtId="0" fontId="11" fillId="10" borderId="0" xfId="0" applyFont="1" applyFill="1" applyBorder="1" applyAlignment="1" applyProtection="1"/>
    <xf numFmtId="0" fontId="11" fillId="7" borderId="0" xfId="0" applyFont="1" applyFill="1" applyBorder="1" applyAlignment="1" applyProtection="1"/>
    <xf numFmtId="0" fontId="12" fillId="2" borderId="0" xfId="0" applyFont="1" applyFill="1" applyAlignment="1" applyProtection="1">
      <alignment horizontal="center" vertical="center"/>
    </xf>
    <xf numFmtId="0" fontId="19" fillId="2" borderId="0" xfId="0" applyFont="1" applyFill="1" applyProtection="1"/>
    <xf numFmtId="0" fontId="0" fillId="10" borderId="0" xfId="0" applyNumberFormat="1" applyFill="1" applyBorder="1" applyAlignment="1" applyProtection="1"/>
    <xf numFmtId="0" fontId="0" fillId="7" borderId="0" xfId="0" applyNumberFormat="1" applyFill="1" applyBorder="1" applyAlignment="1" applyProtection="1"/>
    <xf numFmtId="0" fontId="19" fillId="3" borderId="62" xfId="0" applyFont="1" applyFill="1" applyBorder="1" applyAlignment="1" applyProtection="1">
      <alignment horizontal="center" vertical="center" wrapText="1"/>
    </xf>
    <xf numFmtId="0" fontId="19" fillId="2" borderId="0" xfId="0" applyFont="1" applyFill="1" applyAlignment="1" applyProtection="1">
      <alignment horizontal="center"/>
    </xf>
    <xf numFmtId="0" fontId="21" fillId="2" borderId="0" xfId="0" applyFont="1" applyFill="1" applyProtection="1"/>
    <xf numFmtId="0" fontId="19" fillId="2" borderId="65" xfId="0" applyFont="1" applyFill="1" applyBorder="1" applyAlignment="1" applyProtection="1">
      <alignment vertical="center"/>
    </xf>
    <xf numFmtId="0" fontId="19" fillId="2" borderId="59" xfId="0" applyFont="1" applyFill="1" applyBorder="1" applyAlignment="1" applyProtection="1">
      <alignment vertical="center"/>
    </xf>
    <xf numFmtId="0" fontId="19" fillId="2" borderId="60" xfId="0" applyFont="1" applyFill="1" applyBorder="1" applyAlignment="1" applyProtection="1">
      <alignment vertical="center"/>
    </xf>
    <xf numFmtId="0" fontId="19" fillId="2" borderId="0" xfId="0" applyFont="1" applyFill="1" applyAlignment="1" applyProtection="1">
      <alignment vertical="top" wrapText="1"/>
    </xf>
    <xf numFmtId="0" fontId="19" fillId="9" borderId="0" xfId="0" applyFont="1" applyFill="1" applyAlignment="1" applyProtection="1">
      <alignment vertical="top" wrapText="1"/>
    </xf>
    <xf numFmtId="0" fontId="19" fillId="7" borderId="0" xfId="0" applyFont="1" applyFill="1" applyAlignment="1" applyProtection="1">
      <alignment vertical="top" wrapText="1"/>
    </xf>
    <xf numFmtId="0" fontId="12" fillId="2" borderId="0" xfId="0" applyFont="1" applyFill="1" applyAlignment="1" applyProtection="1">
      <alignment horizontal="center"/>
    </xf>
    <xf numFmtId="0" fontId="19" fillId="2" borderId="61" xfId="0" applyFont="1" applyFill="1" applyBorder="1" applyAlignment="1" applyProtection="1">
      <alignment horizontal="left" vertical="center" wrapText="1"/>
    </xf>
    <xf numFmtId="0" fontId="19" fillId="2" borderId="59" xfId="0" applyFont="1" applyFill="1" applyBorder="1" applyAlignment="1" applyProtection="1">
      <alignment horizontal="left" vertical="center" wrapText="1"/>
    </xf>
    <xf numFmtId="0" fontId="19" fillId="2" borderId="60" xfId="0" applyFont="1" applyFill="1" applyBorder="1" applyAlignment="1" applyProtection="1">
      <alignment horizontal="left" vertical="center" wrapText="1"/>
    </xf>
    <xf numFmtId="0" fontId="12" fillId="10" borderId="6" xfId="0" applyFont="1" applyFill="1" applyBorder="1" applyAlignment="1" applyProtection="1"/>
    <xf numFmtId="0" fontId="12" fillId="10" borderId="0" xfId="0" applyFont="1" applyFill="1" applyAlignment="1" applyProtection="1">
      <alignment vertical="top" wrapText="1"/>
    </xf>
    <xf numFmtId="0" fontId="19" fillId="9" borderId="0" xfId="0" applyFont="1" applyFill="1" applyProtection="1"/>
    <xf numFmtId="0" fontId="12" fillId="7" borderId="0" xfId="0" applyFont="1" applyFill="1" applyAlignment="1" applyProtection="1">
      <alignment wrapText="1"/>
    </xf>
    <xf numFmtId="0" fontId="19" fillId="2" borderId="60" xfId="0" applyFont="1" applyFill="1" applyBorder="1" applyAlignment="1" applyProtection="1">
      <alignment horizontal="left" wrapText="1"/>
    </xf>
    <xf numFmtId="0" fontId="24" fillId="2" borderId="0" xfId="0" applyFont="1" applyFill="1" applyAlignment="1" applyProtection="1">
      <alignment horizontal="left" vertical="top" wrapText="1"/>
    </xf>
    <xf numFmtId="0" fontId="0" fillId="11" borderId="29" xfId="0" applyFill="1" applyBorder="1" applyAlignment="1">
      <alignment horizontal="center" vertical="center"/>
    </xf>
    <xf numFmtId="0" fontId="0" fillId="11" borderId="30" xfId="0" applyFill="1" applyBorder="1" applyAlignment="1">
      <alignment horizontal="center" vertical="center"/>
    </xf>
    <xf numFmtId="0" fontId="0" fillId="5" borderId="35" xfId="0" applyFill="1" applyBorder="1" applyAlignment="1">
      <alignment horizontal="center" vertical="center" wrapText="1"/>
    </xf>
    <xf numFmtId="0" fontId="0" fillId="6" borderId="27" xfId="0" applyFill="1" applyBorder="1" applyAlignment="1">
      <alignment horizontal="center" vertical="center"/>
    </xf>
    <xf numFmtId="168" fontId="19" fillId="8" borderId="62" xfId="2" applyNumberFormat="1" applyFont="1" applyFill="1" applyBorder="1" applyAlignment="1" applyProtection="1">
      <alignment horizontal="center"/>
    </xf>
    <xf numFmtId="0" fontId="12" fillId="2" borderId="0" xfId="0" applyFont="1" applyFill="1" applyBorder="1" applyAlignment="1" applyProtection="1">
      <alignment horizontal="right" vertical="center" wrapText="1"/>
    </xf>
    <xf numFmtId="1" fontId="12" fillId="2" borderId="0" xfId="0" applyNumberFormat="1" applyFont="1" applyFill="1" applyBorder="1" applyAlignment="1" applyProtection="1">
      <alignment horizontal="right" vertical="center" wrapText="1"/>
    </xf>
    <xf numFmtId="0" fontId="0" fillId="2" borderId="0" xfId="0" applyFill="1" applyBorder="1" applyAlignment="1" applyProtection="1">
      <alignment wrapText="1"/>
    </xf>
    <xf numFmtId="3" fontId="0" fillId="2" borderId="17" xfId="1" applyNumberFormat="1" applyFont="1" applyFill="1" applyBorder="1" applyAlignment="1">
      <alignment horizontal="center" vertical="center"/>
    </xf>
    <xf numFmtId="3" fontId="0" fillId="2" borderId="18" xfId="1" applyNumberFormat="1" applyFont="1" applyFill="1" applyBorder="1" applyAlignment="1">
      <alignment horizontal="center" vertical="center"/>
    </xf>
    <xf numFmtId="0" fontId="20" fillId="4" borderId="63" xfId="0" applyFont="1" applyFill="1" applyBorder="1" applyAlignment="1" applyProtection="1">
      <alignment horizontal="center" vertical="center"/>
    </xf>
    <xf numFmtId="0" fontId="11" fillId="4" borderId="64" xfId="0" applyFont="1" applyFill="1" applyBorder="1" applyAlignment="1" applyProtection="1"/>
    <xf numFmtId="0" fontId="27" fillId="2" borderId="0" xfId="0" applyFont="1" applyFill="1" applyBorder="1" applyAlignment="1" applyProtection="1">
      <alignment horizontal="center" vertical="center"/>
    </xf>
    <xf numFmtId="0" fontId="28" fillId="2" borderId="0" xfId="0" applyFont="1" applyFill="1" applyAlignment="1" applyProtection="1"/>
    <xf numFmtId="0" fontId="29" fillId="2" borderId="0" xfId="0" applyFont="1" applyFill="1" applyAlignment="1" applyProtection="1">
      <alignment horizontal="center" vertical="center"/>
    </xf>
    <xf numFmtId="0" fontId="0" fillId="0" borderId="0" xfId="0" applyAlignment="1" applyProtection="1"/>
    <xf numFmtId="0" fontId="19" fillId="6" borderId="7" xfId="0" applyFont="1" applyFill="1" applyBorder="1" applyAlignment="1" applyProtection="1">
      <alignment horizontal="left" vertical="top" wrapText="1"/>
      <protection locked="0"/>
    </xf>
    <xf numFmtId="0" fontId="19" fillId="0" borderId="9" xfId="0" applyFont="1" applyBorder="1" applyAlignment="1" applyProtection="1">
      <alignment horizontal="left" vertical="top" wrapText="1"/>
      <protection locked="0"/>
    </xf>
    <xf numFmtId="0" fontId="19" fillId="0" borderId="6" xfId="0" applyFont="1" applyBorder="1" applyAlignment="1" applyProtection="1">
      <alignment horizontal="left" vertical="top" wrapText="1"/>
      <protection locked="0"/>
    </xf>
    <xf numFmtId="0" fontId="19" fillId="0" borderId="10" xfId="0" applyFont="1" applyBorder="1" applyAlignment="1" applyProtection="1">
      <alignment horizontal="left" vertical="top" wrapText="1"/>
      <protection locked="0"/>
    </xf>
    <xf numFmtId="0" fontId="19" fillId="0" borderId="11" xfId="0" applyFont="1" applyBorder="1" applyAlignment="1" applyProtection="1">
      <alignment horizontal="left" vertical="top" wrapText="1"/>
      <protection locked="0"/>
    </xf>
    <xf numFmtId="0" fontId="19" fillId="0" borderId="13" xfId="0" applyFont="1" applyBorder="1" applyAlignment="1" applyProtection="1">
      <alignment horizontal="left" vertical="top" wrapText="1"/>
      <protection locked="0"/>
    </xf>
    <xf numFmtId="0" fontId="20" fillId="4" borderId="63" xfId="0" applyFont="1" applyFill="1" applyBorder="1" applyAlignment="1" applyProtection="1">
      <alignment horizontal="center" vertical="center" wrapText="1"/>
    </xf>
    <xf numFmtId="0" fontId="20" fillId="4" borderId="64" xfId="0" applyFont="1" applyFill="1" applyBorder="1" applyAlignment="1" applyProtection="1">
      <alignment horizontal="center" vertical="center" wrapText="1"/>
    </xf>
    <xf numFmtId="0" fontId="19" fillId="2" borderId="7" xfId="0" applyNumberFormat="1" applyFont="1" applyFill="1" applyBorder="1" applyAlignment="1" applyProtection="1">
      <alignment horizontal="left" vertical="top" wrapText="1"/>
    </xf>
    <xf numFmtId="0" fontId="19" fillId="2" borderId="9" xfId="0" applyNumberFormat="1" applyFont="1" applyFill="1" applyBorder="1" applyAlignment="1" applyProtection="1">
      <alignment horizontal="left" vertical="top" wrapText="1"/>
    </xf>
    <xf numFmtId="0" fontId="19" fillId="2" borderId="6" xfId="0" applyNumberFormat="1" applyFont="1" applyFill="1" applyBorder="1" applyAlignment="1" applyProtection="1">
      <alignment horizontal="left" vertical="top" wrapText="1"/>
    </xf>
    <xf numFmtId="0" fontId="19" fillId="2" borderId="10" xfId="0" applyNumberFormat="1" applyFont="1" applyFill="1" applyBorder="1" applyAlignment="1" applyProtection="1">
      <alignment horizontal="left" vertical="top" wrapText="1"/>
    </xf>
    <xf numFmtId="0" fontId="0" fillId="0" borderId="6" xfId="0" applyBorder="1" applyAlignment="1" applyProtection="1"/>
    <xf numFmtId="0" fontId="0" fillId="0" borderId="10" xfId="0" applyBorder="1" applyAlignment="1" applyProtection="1"/>
    <xf numFmtId="0" fontId="0" fillId="0" borderId="11" xfId="0" applyBorder="1" applyAlignment="1" applyProtection="1"/>
    <xf numFmtId="0" fontId="0" fillId="0" borderId="13" xfId="0" applyBorder="1" applyAlignment="1" applyProtection="1"/>
    <xf numFmtId="0" fontId="11" fillId="0" borderId="64" xfId="0" applyFont="1" applyBorder="1" applyAlignment="1" applyProtection="1">
      <alignment horizontal="center" vertical="center" wrapText="1"/>
    </xf>
    <xf numFmtId="0" fontId="27" fillId="2" borderId="0" xfId="0" applyFont="1" applyFill="1" applyAlignment="1" applyProtection="1">
      <alignment horizontal="center" vertical="center" wrapText="1"/>
    </xf>
    <xf numFmtId="0" fontId="28" fillId="0" borderId="0" xfId="0" applyFont="1" applyAlignment="1" applyProtection="1">
      <alignment vertical="center"/>
    </xf>
    <xf numFmtId="0" fontId="20" fillId="4" borderId="64" xfId="0" applyFont="1" applyFill="1" applyBorder="1" applyAlignment="1" applyProtection="1">
      <alignment horizontal="center" vertical="center"/>
    </xf>
    <xf numFmtId="0" fontId="22" fillId="2" borderId="8" xfId="0" applyFont="1" applyFill="1" applyBorder="1" applyAlignment="1" applyProtection="1">
      <alignment horizontal="left" vertical="top" wrapText="1"/>
    </xf>
    <xf numFmtId="0" fontId="22" fillId="2" borderId="0" xfId="0" applyFont="1" applyFill="1" applyAlignment="1" applyProtection="1">
      <alignment horizontal="left" vertical="top" wrapText="1"/>
    </xf>
    <xf numFmtId="0" fontId="27" fillId="2" borderId="0" xfId="0" applyFont="1" applyFill="1" applyAlignment="1" applyProtection="1">
      <alignment horizontal="center" vertical="center"/>
    </xf>
    <xf numFmtId="0" fontId="28" fillId="0" borderId="0" xfId="0" applyFont="1" applyAlignment="1" applyProtection="1">
      <alignment horizontal="center" vertical="center"/>
    </xf>
    <xf numFmtId="0" fontId="5" fillId="4" borderId="1" xfId="0" applyFont="1" applyFill="1" applyBorder="1" applyAlignment="1" applyProtection="1">
      <alignment horizontal="center" vertical="center"/>
      <protection locked="0"/>
    </xf>
    <xf numFmtId="0" fontId="5" fillId="4" borderId="14" xfId="0" applyFont="1" applyFill="1" applyBorder="1" applyAlignment="1" applyProtection="1">
      <alignment horizontal="center" vertical="center"/>
      <protection locked="0"/>
    </xf>
    <xf numFmtId="0" fontId="5" fillId="4" borderId="2" xfId="0" applyFont="1" applyFill="1" applyBorder="1" applyAlignment="1" applyProtection="1">
      <alignment horizontal="center" vertical="center"/>
      <protection locked="0"/>
    </xf>
    <xf numFmtId="0" fontId="0" fillId="5" borderId="15" xfId="0" applyFill="1" applyBorder="1" applyAlignment="1" applyProtection="1">
      <alignment horizontal="center" vertical="center"/>
      <protection locked="0"/>
    </xf>
    <xf numFmtId="0" fontId="0" fillId="5" borderId="37" xfId="0" applyFill="1" applyBorder="1" applyAlignment="1" applyProtection="1">
      <alignment horizontal="center" vertical="center"/>
      <protection locked="0"/>
    </xf>
    <xf numFmtId="0" fontId="0" fillId="5" borderId="38" xfId="0" applyFill="1" applyBorder="1" applyAlignment="1" applyProtection="1">
      <alignment horizontal="center" vertical="center"/>
      <protection locked="0"/>
    </xf>
    <xf numFmtId="0" fontId="0" fillId="5" borderId="16" xfId="0" applyFill="1" applyBorder="1" applyAlignment="1" applyProtection="1">
      <alignment horizontal="center" vertical="center"/>
      <protection locked="0"/>
    </xf>
    <xf numFmtId="0" fontId="12" fillId="2" borderId="7" xfId="0" applyFont="1" applyFill="1" applyBorder="1" applyAlignment="1" applyProtection="1">
      <alignment horizontal="left" vertical="top"/>
      <protection locked="0"/>
    </xf>
    <xf numFmtId="0" fontId="12" fillId="2" borderId="8" xfId="0" applyFont="1" applyFill="1" applyBorder="1" applyAlignment="1" applyProtection="1">
      <alignment horizontal="left" vertical="top"/>
      <protection locked="0"/>
    </xf>
    <xf numFmtId="0" fontId="12" fillId="2" borderId="9" xfId="0" applyFont="1" applyFill="1" applyBorder="1" applyAlignment="1" applyProtection="1">
      <alignment horizontal="left" vertical="top"/>
      <protection locked="0"/>
    </xf>
    <xf numFmtId="0" fontId="12" fillId="2" borderId="6" xfId="0" applyFont="1" applyFill="1" applyBorder="1" applyAlignment="1" applyProtection="1">
      <alignment horizontal="left" vertical="top"/>
      <protection locked="0"/>
    </xf>
    <xf numFmtId="0" fontId="12" fillId="2" borderId="0" xfId="0" applyFont="1" applyFill="1" applyBorder="1" applyAlignment="1" applyProtection="1">
      <alignment horizontal="left" vertical="top"/>
      <protection locked="0"/>
    </xf>
    <xf numFmtId="0" fontId="12" fillId="2" borderId="10" xfId="0" applyFont="1" applyFill="1" applyBorder="1" applyAlignment="1" applyProtection="1">
      <alignment horizontal="left" vertical="top"/>
      <protection locked="0"/>
    </xf>
    <xf numFmtId="0" fontId="12" fillId="2" borderId="11" xfId="0" applyFont="1" applyFill="1" applyBorder="1" applyAlignment="1" applyProtection="1">
      <alignment horizontal="left" vertical="top"/>
      <protection locked="0"/>
    </xf>
    <xf numFmtId="0" fontId="12" fillId="2" borderId="12" xfId="0" applyFont="1" applyFill="1" applyBorder="1" applyAlignment="1" applyProtection="1">
      <alignment horizontal="left" vertical="top"/>
      <protection locked="0"/>
    </xf>
    <xf numFmtId="0" fontId="12" fillId="2" borderId="13" xfId="0" applyFont="1" applyFill="1" applyBorder="1" applyAlignment="1" applyProtection="1">
      <alignment horizontal="left" vertical="top"/>
      <protection locked="0"/>
    </xf>
    <xf numFmtId="0" fontId="32" fillId="9" borderId="0" xfId="0" applyFont="1" applyFill="1" applyAlignment="1" applyProtection="1">
      <alignment horizontal="center" vertical="center"/>
    </xf>
    <xf numFmtId="0" fontId="35" fillId="4" borderId="7" xfId="0" applyFont="1" applyFill="1" applyBorder="1" applyAlignment="1" applyProtection="1">
      <alignment horizontal="center"/>
    </xf>
    <xf numFmtId="0" fontId="35" fillId="4" borderId="9" xfId="0" applyFont="1" applyFill="1" applyBorder="1" applyAlignment="1" applyProtection="1">
      <alignment horizontal="center"/>
    </xf>
    <xf numFmtId="0" fontId="35" fillId="4" borderId="11" xfId="0" applyFont="1" applyFill="1" applyBorder="1" applyAlignment="1" applyProtection="1">
      <alignment horizontal="center"/>
    </xf>
    <xf numFmtId="0" fontId="35" fillId="4" borderId="13" xfId="0" applyFont="1" applyFill="1" applyBorder="1" applyAlignment="1" applyProtection="1">
      <alignment horizontal="center"/>
    </xf>
    <xf numFmtId="0" fontId="35" fillId="4" borderId="7" xfId="0" applyFont="1" applyFill="1" applyBorder="1" applyAlignment="1" applyProtection="1">
      <alignment horizontal="center" vertical="center"/>
    </xf>
    <xf numFmtId="0" fontId="35" fillId="4" borderId="8" xfId="0" applyFont="1" applyFill="1" applyBorder="1" applyAlignment="1" applyProtection="1">
      <alignment horizontal="center" vertical="center"/>
    </xf>
    <xf numFmtId="0" fontId="35" fillId="4" borderId="9" xfId="0" applyFont="1" applyFill="1" applyBorder="1" applyAlignment="1" applyProtection="1">
      <alignment horizontal="center" vertical="center"/>
    </xf>
    <xf numFmtId="0" fontId="21" fillId="5" borderId="63" xfId="0" applyFont="1" applyFill="1" applyBorder="1" applyAlignment="1" applyProtection="1">
      <alignment horizontal="center" vertical="center" wrapText="1"/>
    </xf>
    <xf numFmtId="0" fontId="21" fillId="5" borderId="64" xfId="0" applyFont="1" applyFill="1" applyBorder="1" applyAlignment="1" applyProtection="1">
      <alignment horizontal="center" vertical="center" wrapText="1"/>
    </xf>
    <xf numFmtId="0" fontId="33" fillId="2" borderId="7" xfId="0" applyFont="1" applyFill="1" applyBorder="1" applyAlignment="1" applyProtection="1">
      <alignment horizontal="center" vertical="center" wrapText="1"/>
    </xf>
    <xf numFmtId="0" fontId="33" fillId="2" borderId="8" xfId="0" applyFont="1" applyFill="1" applyBorder="1" applyAlignment="1" applyProtection="1">
      <alignment horizontal="center" vertical="center" wrapText="1"/>
    </xf>
    <xf numFmtId="0" fontId="33" fillId="2" borderId="9" xfId="0" applyFont="1" applyFill="1" applyBorder="1" applyAlignment="1" applyProtection="1">
      <alignment horizontal="center" vertical="center" wrapText="1"/>
    </xf>
    <xf numFmtId="0" fontId="33" fillId="2" borderId="6" xfId="0" applyFont="1" applyFill="1" applyBorder="1" applyAlignment="1" applyProtection="1">
      <alignment horizontal="center" vertical="center" wrapText="1"/>
    </xf>
    <xf numFmtId="0" fontId="33" fillId="2" borderId="0" xfId="0" applyFont="1" applyFill="1" applyBorder="1" applyAlignment="1" applyProtection="1">
      <alignment horizontal="center" vertical="center" wrapText="1"/>
    </xf>
    <xf numFmtId="0" fontId="33" fillId="2" borderId="10" xfId="0" applyFont="1" applyFill="1" applyBorder="1" applyAlignment="1" applyProtection="1">
      <alignment horizontal="center" vertical="center" wrapText="1"/>
    </xf>
    <xf numFmtId="0" fontId="33" fillId="2" borderId="11" xfId="0" applyFont="1" applyFill="1" applyBorder="1" applyAlignment="1" applyProtection="1">
      <alignment horizontal="center" vertical="center" wrapText="1"/>
    </xf>
    <xf numFmtId="0" fontId="33" fillId="2" borderId="12" xfId="0" applyFont="1" applyFill="1" applyBorder="1" applyAlignment="1" applyProtection="1">
      <alignment horizontal="center" vertical="center" wrapText="1"/>
    </xf>
    <xf numFmtId="0" fontId="33" fillId="2" borderId="13" xfId="0" applyFont="1" applyFill="1" applyBorder="1" applyAlignment="1" applyProtection="1">
      <alignment horizontal="center" vertical="center" wrapText="1"/>
    </xf>
    <xf numFmtId="0" fontId="34" fillId="2" borderId="7" xfId="0" applyFont="1" applyFill="1" applyBorder="1" applyAlignment="1" applyProtection="1">
      <alignment horizontal="left" vertical="top" wrapText="1"/>
    </xf>
    <xf numFmtId="0" fontId="34" fillId="2" borderId="8" xfId="0" applyFont="1" applyFill="1" applyBorder="1" applyAlignment="1" applyProtection="1">
      <alignment horizontal="left" vertical="top" wrapText="1"/>
    </xf>
    <xf numFmtId="0" fontId="34" fillId="2" borderId="9" xfId="0" applyFont="1" applyFill="1" applyBorder="1" applyAlignment="1" applyProtection="1">
      <alignment horizontal="left" vertical="top" wrapText="1"/>
    </xf>
    <xf numFmtId="0" fontId="34" fillId="2" borderId="6" xfId="0" applyFont="1" applyFill="1" applyBorder="1" applyAlignment="1" applyProtection="1">
      <alignment horizontal="left" vertical="top" wrapText="1"/>
    </xf>
    <xf numFmtId="0" fontId="34" fillId="2" borderId="0" xfId="0" applyFont="1" applyFill="1" applyBorder="1" applyAlignment="1" applyProtection="1">
      <alignment horizontal="left" vertical="top" wrapText="1"/>
    </xf>
    <xf numFmtId="0" fontId="34" fillId="2" borderId="10" xfId="0" applyFont="1" applyFill="1" applyBorder="1" applyAlignment="1" applyProtection="1">
      <alignment horizontal="left" vertical="top" wrapText="1"/>
    </xf>
    <xf numFmtId="0" fontId="34" fillId="2" borderId="11" xfId="0" applyFont="1" applyFill="1" applyBorder="1" applyAlignment="1" applyProtection="1">
      <alignment horizontal="left" vertical="top" wrapText="1"/>
    </xf>
    <xf numFmtId="0" fontId="34" fillId="2" borderId="12" xfId="0" applyFont="1" applyFill="1" applyBorder="1" applyAlignment="1" applyProtection="1">
      <alignment horizontal="left" vertical="top" wrapText="1"/>
    </xf>
    <xf numFmtId="0" fontId="34" fillId="2" borderId="13" xfId="0" applyFont="1" applyFill="1" applyBorder="1" applyAlignment="1" applyProtection="1">
      <alignment horizontal="left" vertical="top" wrapText="1"/>
    </xf>
    <xf numFmtId="0" fontId="23" fillId="2" borderId="0" xfId="0" applyFont="1" applyFill="1" applyAlignment="1" applyProtection="1">
      <alignment horizontal="left" wrapText="1"/>
    </xf>
    <xf numFmtId="0" fontId="12" fillId="2" borderId="63" xfId="0" applyFont="1" applyFill="1" applyBorder="1" applyAlignment="1" applyProtection="1">
      <alignment vertical="top" wrapText="1"/>
      <protection locked="0"/>
    </xf>
    <xf numFmtId="0" fontId="0" fillId="0" borderId="87" xfId="0" applyBorder="1" applyAlignment="1" applyProtection="1">
      <alignment vertical="top" wrapText="1"/>
      <protection locked="0"/>
    </xf>
    <xf numFmtId="0" fontId="0" fillId="0" borderId="87" xfId="0" applyBorder="1" applyAlignment="1" applyProtection="1">
      <protection locked="0"/>
    </xf>
    <xf numFmtId="0" fontId="0" fillId="0" borderId="64" xfId="0" applyBorder="1" applyAlignment="1" applyProtection="1">
      <protection locked="0"/>
    </xf>
    <xf numFmtId="0" fontId="12" fillId="2" borderId="63" xfId="0" applyFont="1" applyFill="1" applyBorder="1" applyAlignment="1" applyProtection="1">
      <alignment wrapText="1"/>
      <protection locked="0"/>
    </xf>
    <xf numFmtId="0" fontId="0" fillId="0" borderId="87" xfId="0" applyBorder="1" applyAlignment="1" applyProtection="1">
      <alignment wrapText="1"/>
      <protection locked="0"/>
    </xf>
    <xf numFmtId="0" fontId="3" fillId="4" borderId="1" xfId="0" applyFont="1" applyFill="1" applyBorder="1" applyAlignment="1">
      <alignment horizontal="center" vertical="center"/>
    </xf>
    <xf numFmtId="0" fontId="3" fillId="4" borderId="2" xfId="0" applyFont="1" applyFill="1" applyBorder="1" applyAlignment="1">
      <alignment horizontal="center" vertical="center"/>
    </xf>
    <xf numFmtId="0" fontId="3" fillId="4" borderId="14" xfId="0" applyFont="1" applyFill="1" applyBorder="1" applyAlignment="1">
      <alignment horizontal="center" vertical="center"/>
    </xf>
    <xf numFmtId="0" fontId="0" fillId="2" borderId="88" xfId="0" applyFill="1" applyBorder="1" applyAlignment="1">
      <alignment horizontal="center" vertical="center"/>
    </xf>
    <xf numFmtId="3" fontId="0" fillId="2" borderId="89" xfId="1" applyNumberFormat="1" applyFont="1" applyFill="1" applyBorder="1" applyAlignment="1">
      <alignment horizontal="center" vertical="center"/>
    </xf>
    <xf numFmtId="9" fontId="0" fillId="2" borderId="90" xfId="1" applyFont="1" applyFill="1" applyBorder="1" applyAlignment="1">
      <alignment horizontal="center" vertical="center"/>
    </xf>
    <xf numFmtId="165" fontId="0" fillId="2" borderId="90" xfId="2" applyNumberFormat="1" applyFont="1" applyFill="1" applyBorder="1" applyAlignment="1">
      <alignment horizontal="center" vertical="center"/>
    </xf>
    <xf numFmtId="4" fontId="0" fillId="2" borderId="90" xfId="1" applyNumberFormat="1" applyFont="1" applyFill="1" applyBorder="1" applyAlignment="1">
      <alignment horizontal="center" vertical="center"/>
    </xf>
    <xf numFmtId="3" fontId="0" fillId="2" borderId="90" xfId="0" applyNumberFormat="1" applyFill="1" applyBorder="1" applyAlignment="1">
      <alignment horizontal="center" vertical="center"/>
    </xf>
    <xf numFmtId="4" fontId="0" fillId="2" borderId="91" xfId="0" applyNumberFormat="1" applyFill="1" applyBorder="1" applyAlignment="1">
      <alignment horizontal="center" vertical="center"/>
    </xf>
    <xf numFmtId="0" fontId="24" fillId="2" borderId="0" xfId="0" applyFont="1" applyFill="1" applyBorder="1" applyAlignment="1" applyProtection="1">
      <alignment vertical="top" wrapText="1"/>
    </xf>
    <xf numFmtId="0" fontId="12" fillId="12" borderId="0" xfId="0" applyFont="1" applyFill="1" applyProtection="1"/>
    <xf numFmtId="0" fontId="12" fillId="12" borderId="0" xfId="0" applyFont="1" applyFill="1" applyAlignment="1" applyProtection="1">
      <alignment horizontal="center"/>
    </xf>
    <xf numFmtId="0" fontId="24" fillId="2" borderId="0" xfId="0" applyFont="1" applyFill="1" applyBorder="1" applyAlignment="1" applyProtection="1">
      <alignment horizontal="center" vertical="top" wrapText="1"/>
    </xf>
    <xf numFmtId="0" fontId="23" fillId="9" borderId="0" xfId="0" applyFont="1" applyFill="1" applyBorder="1" applyAlignment="1" applyProtection="1">
      <alignment horizontal="center" vertical="top"/>
    </xf>
    <xf numFmtId="0" fontId="22" fillId="2" borderId="0" xfId="0" applyFont="1" applyFill="1" applyBorder="1" applyAlignment="1" applyProtection="1">
      <alignment horizontal="center" vertical="center" wrapText="1"/>
    </xf>
    <xf numFmtId="0" fontId="23" fillId="2" borderId="0" xfId="0" applyFont="1" applyFill="1" applyBorder="1" applyAlignment="1" applyProtection="1">
      <alignment horizontal="center" vertical="top" wrapText="1"/>
    </xf>
  </cellXfs>
  <cellStyles count="3">
    <cellStyle name="Comma" xfId="2" builtinId="3"/>
    <cellStyle name="Normal" xfId="0" builtinId="0"/>
    <cellStyle name="Percent" xfId="1" builtinId="5"/>
  </cellStyles>
  <dxfs count="2">
    <dxf>
      <font>
        <color rgb="FFFF0000"/>
      </font>
    </dxf>
    <dxf>
      <font>
        <color rgb="FFFF0000"/>
      </font>
    </dxf>
  </dxfs>
  <tableStyles count="0" defaultTableStyle="TableStyleMedium9" defaultPivotStyle="PivotStyleLight16"/>
  <colors>
    <mruColors>
      <color rgb="FF00B7EB"/>
      <color rgb="FF33CCFF"/>
      <color rgb="FF00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57150</xdr:colOff>
      <xdr:row>1</xdr:row>
      <xdr:rowOff>38100</xdr:rowOff>
    </xdr:from>
    <xdr:to>
      <xdr:col>1</xdr:col>
      <xdr:colOff>962406</xdr:colOff>
      <xdr:row>1</xdr:row>
      <xdr:rowOff>964692</xdr:rowOff>
    </xdr:to>
    <xdr:pic>
      <xdr:nvPicPr>
        <xdr:cNvPr id="4" name="Picture 3" descr="ES Cert Mark Cyan.jpg"/>
        <xdr:cNvPicPr>
          <a:picLocks noChangeAspect="1"/>
        </xdr:cNvPicPr>
      </xdr:nvPicPr>
      <xdr:blipFill>
        <a:blip xmlns:r="http://schemas.openxmlformats.org/officeDocument/2006/relationships" r:embed="rId1" cstate="print"/>
        <a:stretch>
          <a:fillRect/>
        </a:stretch>
      </xdr:blipFill>
      <xdr:spPr>
        <a:xfrm>
          <a:off x="57150" y="228600"/>
          <a:ext cx="905256" cy="92659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47626</xdr:colOff>
      <xdr:row>1</xdr:row>
      <xdr:rowOff>31751</xdr:rowOff>
    </xdr:from>
    <xdr:to>
      <xdr:col>2</xdr:col>
      <xdr:colOff>704273</xdr:colOff>
      <xdr:row>4</xdr:row>
      <xdr:rowOff>303543</xdr:rowOff>
    </xdr:to>
    <xdr:pic>
      <xdr:nvPicPr>
        <xdr:cNvPr id="4" name="Picture 3" descr="ES Cert Mark Cyan.jpg"/>
        <xdr:cNvPicPr>
          <a:picLocks noChangeAspect="1"/>
        </xdr:cNvPicPr>
      </xdr:nvPicPr>
      <xdr:blipFill>
        <a:blip xmlns:r="http://schemas.openxmlformats.org/officeDocument/2006/relationships" r:embed="rId1" cstate="print"/>
        <a:stretch>
          <a:fillRect/>
        </a:stretch>
      </xdr:blipFill>
      <xdr:spPr>
        <a:xfrm>
          <a:off x="174626" y="158751"/>
          <a:ext cx="767772" cy="79566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145676</xdr:colOff>
      <xdr:row>1</xdr:row>
      <xdr:rowOff>44822</xdr:rowOff>
    </xdr:from>
    <xdr:to>
      <xdr:col>2</xdr:col>
      <xdr:colOff>604398</xdr:colOff>
      <xdr:row>4</xdr:row>
      <xdr:rowOff>134519</xdr:rowOff>
    </xdr:to>
    <xdr:pic>
      <xdr:nvPicPr>
        <xdr:cNvPr id="3" name="Picture 2" descr="ES Cert Mark Cyan.jpg"/>
        <xdr:cNvPicPr>
          <a:picLocks noChangeAspect="1"/>
        </xdr:cNvPicPr>
      </xdr:nvPicPr>
      <xdr:blipFill>
        <a:blip xmlns:r="http://schemas.openxmlformats.org/officeDocument/2006/relationships" r:embed="rId1" cstate="print"/>
        <a:stretch>
          <a:fillRect/>
        </a:stretch>
      </xdr:blipFill>
      <xdr:spPr>
        <a:xfrm>
          <a:off x="257735" y="179293"/>
          <a:ext cx="638016" cy="66119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G13"/>
  <sheetViews>
    <sheetView showGridLines="0" showRowColHeaders="0" tabSelected="1" workbookViewId="0">
      <selection activeCell="B3" sqref="B3"/>
    </sheetView>
  </sheetViews>
  <sheetFormatPr defaultColWidth="9.109375" defaultRowHeight="13.8" x14ac:dyDescent="0.25"/>
  <cols>
    <col min="1" max="1" width="2.5546875" style="72" customWidth="1"/>
    <col min="2" max="2" width="92.88671875" style="72" customWidth="1"/>
    <col min="3" max="16384" width="9.109375" style="72"/>
  </cols>
  <sheetData>
    <row r="1" spans="1:7" ht="9" customHeight="1" thickBot="1" x14ac:dyDescent="0.3">
      <c r="A1" s="110"/>
      <c r="B1" s="110"/>
      <c r="C1" s="110"/>
      <c r="D1" s="110"/>
      <c r="E1" s="110"/>
      <c r="F1" s="110"/>
      <c r="G1" s="110"/>
    </row>
    <row r="2" spans="1:7" ht="89.25" customHeight="1" thickTop="1" x14ac:dyDescent="0.4">
      <c r="A2" s="110"/>
      <c r="B2" s="119" t="s">
        <v>53</v>
      </c>
      <c r="C2" s="110"/>
      <c r="D2" s="110"/>
      <c r="E2" s="110"/>
      <c r="F2" s="110"/>
      <c r="G2" s="110"/>
    </row>
    <row r="3" spans="1:7" ht="294" thickBot="1" x14ac:dyDescent="0.3">
      <c r="A3" s="110"/>
      <c r="B3" s="120" t="s">
        <v>101</v>
      </c>
      <c r="C3" s="110"/>
      <c r="D3" s="110"/>
      <c r="E3" s="110"/>
      <c r="F3" s="110"/>
      <c r="G3" s="110"/>
    </row>
    <row r="4" spans="1:7" ht="14.4" thickTop="1" x14ac:dyDescent="0.25">
      <c r="A4" s="110"/>
      <c r="B4" s="118"/>
      <c r="C4" s="110"/>
      <c r="D4" s="110"/>
      <c r="E4" s="110"/>
      <c r="F4" s="110"/>
      <c r="G4" s="110"/>
    </row>
    <row r="5" spans="1:7" x14ac:dyDescent="0.25">
      <c r="A5" s="110"/>
      <c r="B5" s="110"/>
      <c r="C5" s="110"/>
      <c r="D5" s="110"/>
      <c r="E5" s="110"/>
      <c r="F5" s="110"/>
      <c r="G5" s="110"/>
    </row>
    <row r="6" spans="1:7" x14ac:dyDescent="0.25">
      <c r="A6" s="110"/>
      <c r="B6" s="110"/>
      <c r="C6" s="110"/>
      <c r="D6" s="110"/>
      <c r="E6" s="110"/>
      <c r="F6" s="110"/>
      <c r="G6" s="110"/>
    </row>
    <row r="7" spans="1:7" x14ac:dyDescent="0.25">
      <c r="A7" s="110"/>
      <c r="B7" s="110"/>
      <c r="C7" s="110"/>
      <c r="D7" s="110"/>
      <c r="E7" s="110"/>
      <c r="F7" s="110"/>
      <c r="G7" s="110"/>
    </row>
    <row r="8" spans="1:7" x14ac:dyDescent="0.25">
      <c r="A8" s="110"/>
      <c r="B8" s="110"/>
      <c r="C8" s="110"/>
      <c r="D8" s="110"/>
      <c r="E8" s="110"/>
      <c r="F8" s="110"/>
      <c r="G8" s="110"/>
    </row>
    <row r="9" spans="1:7" x14ac:dyDescent="0.25">
      <c r="A9" s="110"/>
      <c r="B9" s="110"/>
      <c r="C9" s="110"/>
      <c r="D9" s="110"/>
      <c r="E9" s="110"/>
      <c r="F9" s="110"/>
      <c r="G9" s="110"/>
    </row>
    <row r="10" spans="1:7" x14ac:dyDescent="0.25">
      <c r="A10" s="110"/>
      <c r="B10" s="110"/>
      <c r="C10" s="110"/>
      <c r="D10" s="110"/>
      <c r="E10" s="110"/>
      <c r="F10" s="110"/>
      <c r="G10" s="110"/>
    </row>
    <row r="11" spans="1:7" x14ac:dyDescent="0.25">
      <c r="A11" s="110"/>
      <c r="B11" s="110"/>
      <c r="C11" s="110"/>
      <c r="D11" s="110"/>
      <c r="E11" s="110"/>
      <c r="F11" s="110"/>
      <c r="G11" s="110"/>
    </row>
    <row r="12" spans="1:7" x14ac:dyDescent="0.25">
      <c r="A12" s="110"/>
      <c r="B12" s="110"/>
      <c r="C12" s="110"/>
      <c r="D12" s="110"/>
      <c r="E12" s="110"/>
      <c r="F12" s="110"/>
      <c r="G12" s="110"/>
    </row>
    <row r="13" spans="1:7" x14ac:dyDescent="0.25">
      <c r="A13" s="110"/>
      <c r="B13" s="110"/>
      <c r="C13" s="110"/>
      <c r="D13" s="110"/>
      <c r="E13" s="110"/>
      <c r="F13" s="110"/>
      <c r="G13" s="110"/>
    </row>
  </sheetData>
  <sheetProtection algorithmName="SHA-512" hashValue="o8VfU8RKwnJAOw/2k5svEGv4nna3Wak1CsKUcthWFC9NsXSkkrv8IwmoDcLqZroIj8IxZNcXZls20MzUWsJJnQ==" saltValue="OMOG5iMn21IDREIMIIKTFQ==" spinCount="100000" sheet="1" objects="1" scenarios="1"/>
  <pageMargins left="0.7" right="0.7" top="0.75" bottom="0.75" header="0.3" footer="0.3"/>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G52"/>
  <sheetViews>
    <sheetView zoomScale="60" zoomScaleNormal="60" workbookViewId="0">
      <selection activeCell="I19" sqref="I19"/>
    </sheetView>
  </sheetViews>
  <sheetFormatPr defaultColWidth="9.109375" defaultRowHeight="13.8" x14ac:dyDescent="0.25"/>
  <cols>
    <col min="1" max="1" width="1.88671875" style="110" customWidth="1"/>
    <col min="2" max="2" width="1.5546875" style="110" customWidth="1"/>
    <col min="3" max="3" width="16.5546875" style="110" customWidth="1"/>
    <col min="4" max="4" width="28.109375" style="110" customWidth="1"/>
    <col min="5" max="6" width="1.88671875" style="110" customWidth="1"/>
    <col min="7" max="7" width="2.5546875" style="110" customWidth="1"/>
    <col min="8" max="8" width="59.5546875" style="110" customWidth="1"/>
    <col min="9" max="9" width="19.109375" style="110" bestFit="1" customWidth="1"/>
    <col min="10" max="10" width="2.33203125" style="110" customWidth="1"/>
    <col min="11" max="11" width="13.5546875" style="188" customWidth="1"/>
    <col min="12" max="12" width="27.33203125" style="188" customWidth="1"/>
    <col min="13" max="13" width="1.33203125" style="188" customWidth="1"/>
    <col min="14" max="14" width="13.33203125" style="188" customWidth="1"/>
    <col min="15" max="15" width="26.109375" style="188" customWidth="1"/>
    <col min="16" max="16" width="1.33203125" style="188" customWidth="1"/>
    <col min="17" max="17" width="13.44140625" style="188" customWidth="1"/>
    <col min="18" max="18" width="27.33203125" style="188" customWidth="1"/>
    <col min="19" max="19" width="2.109375" style="110" customWidth="1"/>
    <col min="20" max="20" width="1.88671875" style="110" customWidth="1"/>
    <col min="21" max="16384" width="9.109375" style="110"/>
  </cols>
  <sheetData>
    <row r="1" spans="1:33" ht="9.75" customHeight="1" x14ac:dyDescent="0.25">
      <c r="A1" s="108"/>
      <c r="B1" s="108"/>
      <c r="C1" s="108"/>
      <c r="D1" s="108"/>
      <c r="E1" s="108"/>
      <c r="F1" s="108"/>
      <c r="G1" s="108"/>
      <c r="H1" s="108"/>
      <c r="I1" s="108"/>
      <c r="J1" s="108"/>
      <c r="K1" s="163"/>
      <c r="L1" s="163"/>
      <c r="M1" s="163"/>
      <c r="N1" s="163"/>
      <c r="O1" s="163"/>
      <c r="P1" s="163"/>
      <c r="Q1" s="163"/>
      <c r="R1" s="163"/>
      <c r="S1" s="108"/>
      <c r="T1" s="108"/>
    </row>
    <row r="2" spans="1:33" ht="14.25" customHeight="1" x14ac:dyDescent="0.25">
      <c r="A2" s="108"/>
      <c r="B2" s="212" t="s">
        <v>80</v>
      </c>
      <c r="C2" s="213"/>
      <c r="D2" s="213"/>
      <c r="E2" s="213"/>
      <c r="F2" s="213"/>
      <c r="G2" s="213"/>
      <c r="H2" s="213"/>
      <c r="I2" s="213"/>
      <c r="J2" s="213"/>
      <c r="K2" s="213"/>
      <c r="L2" s="213"/>
      <c r="M2" s="213"/>
      <c r="N2" s="213"/>
      <c r="O2" s="213"/>
      <c r="P2" s="213"/>
      <c r="Q2" s="213"/>
      <c r="R2" s="213"/>
      <c r="S2" s="213"/>
      <c r="T2" s="108"/>
    </row>
    <row r="3" spans="1:33" ht="14.25" customHeight="1" x14ac:dyDescent="0.25">
      <c r="A3" s="108"/>
      <c r="B3" s="213"/>
      <c r="C3" s="213"/>
      <c r="D3" s="213"/>
      <c r="E3" s="213"/>
      <c r="F3" s="213"/>
      <c r="G3" s="213"/>
      <c r="H3" s="213"/>
      <c r="I3" s="213"/>
      <c r="J3" s="213"/>
      <c r="K3" s="213"/>
      <c r="L3" s="213"/>
      <c r="M3" s="213"/>
      <c r="N3" s="213"/>
      <c r="O3" s="213"/>
      <c r="P3" s="213"/>
      <c r="Q3" s="213"/>
      <c r="R3" s="213"/>
      <c r="S3" s="213"/>
      <c r="T3" s="108"/>
    </row>
    <row r="4" spans="1:33" ht="14.25" customHeight="1" x14ac:dyDescent="0.25">
      <c r="A4" s="108"/>
      <c r="B4" s="213"/>
      <c r="C4" s="213"/>
      <c r="D4" s="213"/>
      <c r="E4" s="213"/>
      <c r="F4" s="213"/>
      <c r="G4" s="213"/>
      <c r="H4" s="213"/>
      <c r="I4" s="213"/>
      <c r="J4" s="213"/>
      <c r="K4" s="213"/>
      <c r="L4" s="213"/>
      <c r="M4" s="213"/>
      <c r="N4" s="213"/>
      <c r="O4" s="213"/>
      <c r="P4" s="213"/>
      <c r="Q4" s="213"/>
      <c r="R4" s="213"/>
      <c r="S4" s="213"/>
      <c r="T4" s="108"/>
    </row>
    <row r="5" spans="1:33" ht="24.75" customHeight="1" x14ac:dyDescent="0.25">
      <c r="A5" s="108"/>
      <c r="B5" s="213"/>
      <c r="C5" s="213"/>
      <c r="D5" s="213"/>
      <c r="E5" s="213"/>
      <c r="F5" s="213"/>
      <c r="G5" s="213"/>
      <c r="H5" s="213"/>
      <c r="I5" s="213"/>
      <c r="J5" s="213"/>
      <c r="K5" s="213"/>
      <c r="L5" s="213"/>
      <c r="M5" s="213"/>
      <c r="N5" s="213"/>
      <c r="O5" s="213"/>
      <c r="P5" s="213"/>
      <c r="Q5" s="213"/>
      <c r="R5" s="213"/>
      <c r="S5" s="213"/>
      <c r="T5" s="108"/>
    </row>
    <row r="6" spans="1:33" ht="9" customHeight="1" x14ac:dyDescent="0.3">
      <c r="A6" s="108"/>
      <c r="B6" s="164"/>
      <c r="C6" s="164"/>
      <c r="D6" s="164"/>
      <c r="E6" s="164"/>
      <c r="F6" s="164"/>
      <c r="G6" s="164"/>
      <c r="H6" s="164"/>
      <c r="I6" s="164"/>
      <c r="J6" s="164"/>
      <c r="K6" s="165"/>
      <c r="L6" s="165"/>
      <c r="M6" s="165"/>
      <c r="N6" s="166"/>
      <c r="O6" s="165"/>
      <c r="P6" s="165"/>
      <c r="Q6" s="165"/>
      <c r="R6" s="165"/>
      <c r="S6" s="108"/>
      <c r="T6" s="108"/>
    </row>
    <row r="7" spans="1:33" ht="34.5" customHeight="1" thickBot="1" x14ac:dyDescent="0.55000000000000004">
      <c r="A7" s="108"/>
      <c r="B7" s="167"/>
      <c r="C7" s="168"/>
      <c r="D7" s="169"/>
      <c r="E7" s="169"/>
      <c r="F7" s="170"/>
      <c r="G7" s="210" t="s">
        <v>45</v>
      </c>
      <c r="H7" s="211"/>
      <c r="I7" s="211"/>
      <c r="J7" s="211"/>
      <c r="K7" s="211"/>
      <c r="L7" s="211"/>
      <c r="M7" s="211"/>
      <c r="N7" s="211"/>
      <c r="O7" s="211"/>
      <c r="P7" s="211"/>
      <c r="Q7" s="211"/>
      <c r="R7" s="211"/>
      <c r="S7" s="211"/>
      <c r="T7" s="108"/>
    </row>
    <row r="8" spans="1:33" s="175" customFormat="1" ht="39" customHeight="1" thickBot="1" x14ac:dyDescent="0.4">
      <c r="A8" s="171"/>
      <c r="B8" s="172"/>
      <c r="C8" s="208" t="s">
        <v>56</v>
      </c>
      <c r="D8" s="209"/>
      <c r="E8" s="173"/>
      <c r="F8" s="174"/>
      <c r="G8" s="172"/>
      <c r="H8" s="220" t="s">
        <v>55</v>
      </c>
      <c r="I8" s="230"/>
      <c r="J8" s="172"/>
      <c r="K8" s="220" t="str">
        <f>IF(I21="","Tested Case Temperature 1",CONCATENATE("Test Data for ",I21,"⁰C Case Temperature"))</f>
        <v>Tested Case Temperature 1</v>
      </c>
      <c r="L8" s="221"/>
      <c r="M8" s="172"/>
      <c r="N8" s="220" t="str">
        <f>IF(I22="","Tested Case Temperature 2",CONCATENATE("Test Data for ",I22,"⁰C Case Temperature"))</f>
        <v>Tested Case Temperature 2</v>
      </c>
      <c r="O8" s="221"/>
      <c r="P8" s="172"/>
      <c r="Q8" s="220" t="str">
        <f>IF(I23="","Tested Case Temperature 3",CONCATENATE("Test Data for ",I23,"⁰C Case Temperature"))</f>
        <v>Tested Case Temperature 3</v>
      </c>
      <c r="R8" s="221"/>
      <c r="T8" s="171"/>
    </row>
    <row r="9" spans="1:33" ht="48" customHeight="1" thickBot="1" x14ac:dyDescent="0.35">
      <c r="A9" s="108"/>
      <c r="B9" s="176"/>
      <c r="C9" s="222" t="s">
        <v>98</v>
      </c>
      <c r="D9" s="223"/>
      <c r="E9" s="177"/>
      <c r="F9" s="178"/>
      <c r="G9" s="176"/>
      <c r="H9" s="214"/>
      <c r="I9" s="215"/>
      <c r="J9" s="176"/>
      <c r="K9" s="179" t="s">
        <v>82</v>
      </c>
      <c r="L9" s="179" t="s">
        <v>54</v>
      </c>
      <c r="M9" s="180"/>
      <c r="N9" s="179" t="s">
        <v>82</v>
      </c>
      <c r="O9" s="179" t="s">
        <v>54</v>
      </c>
      <c r="P9" s="180"/>
      <c r="Q9" s="179" t="s">
        <v>82</v>
      </c>
      <c r="R9" s="179" t="s">
        <v>54</v>
      </c>
      <c r="T9" s="108"/>
      <c r="AG9" s="181"/>
    </row>
    <row r="10" spans="1:33" ht="15" customHeight="1" x14ac:dyDescent="0.3">
      <c r="A10" s="108"/>
      <c r="B10" s="176"/>
      <c r="C10" s="224"/>
      <c r="D10" s="225"/>
      <c r="E10" s="177"/>
      <c r="F10" s="178"/>
      <c r="G10" s="176"/>
      <c r="H10" s="216"/>
      <c r="I10" s="217"/>
      <c r="J10" s="176"/>
      <c r="K10" s="73">
        <v>0</v>
      </c>
      <c r="L10" s="121"/>
      <c r="M10" s="172"/>
      <c r="N10" s="73"/>
      <c r="O10" s="122"/>
      <c r="P10" s="172"/>
      <c r="Q10" s="73"/>
      <c r="R10" s="122"/>
      <c r="T10" s="108"/>
      <c r="AG10" s="181"/>
    </row>
    <row r="11" spans="1:33" ht="18" customHeight="1" x14ac:dyDescent="0.3">
      <c r="A11" s="108"/>
      <c r="B11" s="176"/>
      <c r="C11" s="224"/>
      <c r="D11" s="225"/>
      <c r="E11" s="177"/>
      <c r="F11" s="178"/>
      <c r="G11" s="176"/>
      <c r="H11" s="216"/>
      <c r="I11" s="217"/>
      <c r="J11" s="176"/>
      <c r="K11" s="74">
        <v>1000</v>
      </c>
      <c r="L11" s="123"/>
      <c r="M11" s="172"/>
      <c r="N11" s="74"/>
      <c r="O11" s="123"/>
      <c r="P11" s="172"/>
      <c r="Q11" s="74"/>
      <c r="R11" s="124"/>
      <c r="T11" s="108"/>
      <c r="AG11" s="181"/>
    </row>
    <row r="12" spans="1:33" ht="18.75" customHeight="1" thickBot="1" x14ac:dyDescent="0.35">
      <c r="A12" s="108"/>
      <c r="B12" s="176"/>
      <c r="C12" s="224"/>
      <c r="D12" s="225"/>
      <c r="E12" s="177"/>
      <c r="F12" s="178"/>
      <c r="G12" s="176"/>
      <c r="H12" s="218"/>
      <c r="I12" s="219"/>
      <c r="J12" s="176"/>
      <c r="K12" s="74">
        <v>2000</v>
      </c>
      <c r="L12" s="123"/>
      <c r="M12" s="172"/>
      <c r="N12" s="74"/>
      <c r="O12" s="123"/>
      <c r="P12" s="172"/>
      <c r="Q12" s="74"/>
      <c r="R12" s="124"/>
      <c r="T12" s="108"/>
      <c r="AG12" s="181"/>
    </row>
    <row r="13" spans="1:33" ht="18" customHeight="1" x14ac:dyDescent="0.3">
      <c r="A13" s="108"/>
      <c r="B13" s="176"/>
      <c r="C13" s="224"/>
      <c r="D13" s="225"/>
      <c r="E13" s="177"/>
      <c r="F13" s="178"/>
      <c r="G13" s="176"/>
      <c r="H13" s="176"/>
      <c r="I13" s="176"/>
      <c r="J13" s="176"/>
      <c r="K13" s="74">
        <v>3000</v>
      </c>
      <c r="L13" s="123"/>
      <c r="M13" s="172"/>
      <c r="N13" s="74"/>
      <c r="O13" s="123"/>
      <c r="P13" s="172"/>
      <c r="Q13" s="74"/>
      <c r="R13" s="124"/>
      <c r="T13" s="108"/>
      <c r="AG13" s="181"/>
    </row>
    <row r="14" spans="1:33" ht="18.75" customHeight="1" thickBot="1" x14ac:dyDescent="0.35">
      <c r="A14" s="108"/>
      <c r="B14" s="176"/>
      <c r="C14" s="224"/>
      <c r="D14" s="225"/>
      <c r="E14" s="177"/>
      <c r="F14" s="178"/>
      <c r="G14" s="176"/>
      <c r="H14" s="176"/>
      <c r="I14" s="176"/>
      <c r="J14" s="176"/>
      <c r="K14" s="74">
        <v>4000</v>
      </c>
      <c r="L14" s="123"/>
      <c r="M14" s="172"/>
      <c r="N14" s="74"/>
      <c r="O14" s="123"/>
      <c r="P14" s="172"/>
      <c r="Q14" s="74"/>
      <c r="R14" s="124"/>
      <c r="T14" s="108"/>
      <c r="AG14" s="181"/>
    </row>
    <row r="15" spans="1:33" ht="18.75" customHeight="1" thickBot="1" x14ac:dyDescent="0.35">
      <c r="A15" s="108"/>
      <c r="B15" s="176"/>
      <c r="C15" s="224"/>
      <c r="D15" s="225"/>
      <c r="E15" s="177"/>
      <c r="F15" s="178"/>
      <c r="G15" s="176"/>
      <c r="H15" s="208" t="s">
        <v>47</v>
      </c>
      <c r="I15" s="233"/>
      <c r="J15" s="176"/>
      <c r="K15" s="74">
        <v>5000</v>
      </c>
      <c r="L15" s="123"/>
      <c r="M15" s="172"/>
      <c r="N15" s="74"/>
      <c r="O15" s="123"/>
      <c r="P15" s="172"/>
      <c r="Q15" s="74"/>
      <c r="R15" s="124"/>
      <c r="T15" s="108"/>
      <c r="AG15" s="181"/>
    </row>
    <row r="16" spans="1:33" ht="19.5" customHeight="1" x14ac:dyDescent="0.3">
      <c r="A16" s="108"/>
      <c r="B16" s="176"/>
      <c r="C16" s="224"/>
      <c r="D16" s="225"/>
      <c r="E16" s="177"/>
      <c r="F16" s="178"/>
      <c r="G16" s="176"/>
      <c r="H16" s="182" t="s">
        <v>89</v>
      </c>
      <c r="I16" s="73"/>
      <c r="J16" s="176"/>
      <c r="K16" s="74">
        <v>6000</v>
      </c>
      <c r="L16" s="123"/>
      <c r="M16" s="172"/>
      <c r="N16" s="74"/>
      <c r="O16" s="123"/>
      <c r="P16" s="172"/>
      <c r="Q16" s="74"/>
      <c r="R16" s="124"/>
      <c r="T16" s="108"/>
      <c r="AG16" s="181"/>
    </row>
    <row r="17" spans="1:33" ht="19.5" customHeight="1" x14ac:dyDescent="0.3">
      <c r="A17" s="108"/>
      <c r="B17" s="176"/>
      <c r="C17" s="224"/>
      <c r="D17" s="225"/>
      <c r="E17" s="177"/>
      <c r="F17" s="178"/>
      <c r="G17" s="176"/>
      <c r="H17" s="183" t="s">
        <v>48</v>
      </c>
      <c r="I17" s="74"/>
      <c r="J17" s="176"/>
      <c r="K17" s="74">
        <v>7000</v>
      </c>
      <c r="L17" s="123"/>
      <c r="M17" s="172"/>
      <c r="N17" s="74"/>
      <c r="O17" s="123"/>
      <c r="P17" s="172"/>
      <c r="Q17" s="74"/>
      <c r="R17" s="124"/>
      <c r="T17" s="108"/>
      <c r="AG17" s="181"/>
    </row>
    <row r="18" spans="1:33" ht="19.5" customHeight="1" x14ac:dyDescent="0.3">
      <c r="A18" s="108"/>
      <c r="B18" s="176"/>
      <c r="C18" s="224"/>
      <c r="D18" s="225"/>
      <c r="E18" s="177"/>
      <c r="F18" s="178"/>
      <c r="G18" s="176"/>
      <c r="H18" s="183" t="s">
        <v>84</v>
      </c>
      <c r="I18" s="162" t="str">
        <f>IF(I16="","",I16-I17)</f>
        <v/>
      </c>
      <c r="J18" s="176"/>
      <c r="K18" s="74">
        <v>8000</v>
      </c>
      <c r="L18" s="123"/>
      <c r="M18" s="172"/>
      <c r="N18" s="74"/>
      <c r="O18" s="123"/>
      <c r="P18" s="172"/>
      <c r="Q18" s="74"/>
      <c r="R18" s="124"/>
      <c r="T18" s="108"/>
      <c r="AG18" s="181"/>
    </row>
    <row r="19" spans="1:33" ht="19.5" customHeight="1" x14ac:dyDescent="0.3">
      <c r="A19" s="108"/>
      <c r="B19" s="176"/>
      <c r="C19" s="224"/>
      <c r="D19" s="225"/>
      <c r="E19" s="177"/>
      <c r="F19" s="178"/>
      <c r="G19" s="176"/>
      <c r="H19" s="183" t="s">
        <v>83</v>
      </c>
      <c r="I19" s="74"/>
      <c r="J19" s="176"/>
      <c r="K19" s="74">
        <v>9000</v>
      </c>
      <c r="L19" s="123"/>
      <c r="M19" s="172"/>
      <c r="N19" s="74"/>
      <c r="O19" s="123"/>
      <c r="P19" s="172"/>
      <c r="Q19" s="74"/>
      <c r="R19" s="124"/>
      <c r="T19" s="108"/>
      <c r="AG19" s="181"/>
    </row>
    <row r="20" spans="1:33" ht="19.5" customHeight="1" x14ac:dyDescent="0.3">
      <c r="A20" s="108"/>
      <c r="B20" s="176"/>
      <c r="C20" s="224"/>
      <c r="D20" s="225"/>
      <c r="E20" s="177"/>
      <c r="F20" s="178"/>
      <c r="G20" s="176"/>
      <c r="H20" s="183" t="s">
        <v>49</v>
      </c>
      <c r="I20" s="74"/>
      <c r="J20" s="176"/>
      <c r="K20" s="74">
        <v>10000</v>
      </c>
      <c r="L20" s="123"/>
      <c r="M20" s="172"/>
      <c r="N20" s="74"/>
      <c r="O20" s="123"/>
      <c r="P20" s="172"/>
      <c r="Q20" s="74"/>
      <c r="R20" s="124"/>
      <c r="T20" s="108"/>
      <c r="AG20" s="181"/>
    </row>
    <row r="21" spans="1:33" ht="19.5" customHeight="1" x14ac:dyDescent="0.3">
      <c r="A21" s="108"/>
      <c r="B21" s="176"/>
      <c r="C21" s="224"/>
      <c r="D21" s="225"/>
      <c r="E21" s="177"/>
      <c r="F21" s="178"/>
      <c r="G21" s="176"/>
      <c r="H21" s="183" t="s">
        <v>50</v>
      </c>
      <c r="I21" s="74"/>
      <c r="J21" s="176"/>
      <c r="K21" s="74">
        <v>11000</v>
      </c>
      <c r="L21" s="123"/>
      <c r="M21" s="172"/>
      <c r="N21" s="74"/>
      <c r="O21" s="123"/>
      <c r="P21" s="172"/>
      <c r="Q21" s="74"/>
      <c r="R21" s="124"/>
      <c r="T21" s="108"/>
      <c r="AG21" s="181"/>
    </row>
    <row r="22" spans="1:33" ht="19.5" customHeight="1" x14ac:dyDescent="0.3">
      <c r="A22" s="108"/>
      <c r="B22" s="176"/>
      <c r="C22" s="224"/>
      <c r="D22" s="225"/>
      <c r="E22" s="177"/>
      <c r="F22" s="178"/>
      <c r="G22" s="176"/>
      <c r="H22" s="183" t="s">
        <v>51</v>
      </c>
      <c r="I22" s="74"/>
      <c r="J22" s="176"/>
      <c r="K22" s="125">
        <v>12000</v>
      </c>
      <c r="L22" s="122"/>
      <c r="M22" s="172"/>
      <c r="N22" s="74"/>
      <c r="O22" s="124"/>
      <c r="P22" s="172"/>
      <c r="Q22" s="74"/>
      <c r="R22" s="124"/>
      <c r="T22" s="108"/>
      <c r="AG22" s="181"/>
    </row>
    <row r="23" spans="1:33" ht="21" customHeight="1" thickBot="1" x14ac:dyDescent="0.35">
      <c r="A23" s="108"/>
      <c r="B23" s="176"/>
      <c r="C23" s="224"/>
      <c r="D23" s="225"/>
      <c r="E23" s="177"/>
      <c r="F23" s="178"/>
      <c r="G23" s="176"/>
      <c r="H23" s="184" t="s">
        <v>52</v>
      </c>
      <c r="I23" s="75"/>
      <c r="J23" s="176"/>
      <c r="K23" s="74">
        <v>13000</v>
      </c>
      <c r="L23" s="124"/>
      <c r="M23" s="172"/>
      <c r="N23" s="74"/>
      <c r="O23" s="124"/>
      <c r="P23" s="172"/>
      <c r="Q23" s="74"/>
      <c r="R23" s="124"/>
      <c r="T23" s="108"/>
    </row>
    <row r="24" spans="1:33" ht="20.25" customHeight="1" x14ac:dyDescent="0.3">
      <c r="A24" s="108"/>
      <c r="B24" s="176"/>
      <c r="C24" s="224"/>
      <c r="D24" s="225"/>
      <c r="E24" s="177"/>
      <c r="F24" s="178"/>
      <c r="G24" s="176"/>
      <c r="H24" s="234" t="str">
        <f>IF(AND(I22&lt;&gt;"",I21=""),"Please enter value for 'Tested Case Temperature 1'",IF(AND(OR(I21="",I22=""),I23&lt;&gt;""),"Please enter values for 'Tested Case Temperature 1' and Tested Case Temperature 2'",""))</f>
        <v/>
      </c>
      <c r="I24" s="234"/>
      <c r="J24" s="176"/>
      <c r="K24" s="74">
        <v>14000</v>
      </c>
      <c r="L24" s="124"/>
      <c r="M24" s="172"/>
      <c r="N24" s="74"/>
      <c r="O24" s="124"/>
      <c r="P24" s="172"/>
      <c r="Q24" s="74"/>
      <c r="R24" s="124"/>
      <c r="T24" s="108"/>
    </row>
    <row r="25" spans="1:33" ht="18" customHeight="1" x14ac:dyDescent="0.3">
      <c r="A25" s="108"/>
      <c r="B25" s="176"/>
      <c r="C25" s="224"/>
      <c r="D25" s="225"/>
      <c r="E25" s="177"/>
      <c r="F25" s="178"/>
      <c r="G25" s="176"/>
      <c r="H25" s="235"/>
      <c r="I25" s="235"/>
      <c r="J25" s="176"/>
      <c r="K25" s="74">
        <v>15000</v>
      </c>
      <c r="L25" s="124"/>
      <c r="M25" s="172"/>
      <c r="N25" s="74"/>
      <c r="O25" s="124"/>
      <c r="P25" s="172"/>
      <c r="Q25" s="74"/>
      <c r="R25" s="124"/>
      <c r="T25" s="108"/>
    </row>
    <row r="26" spans="1:33" ht="18.75" customHeight="1" x14ac:dyDescent="0.3">
      <c r="A26" s="108"/>
      <c r="B26" s="176"/>
      <c r="C26" s="224"/>
      <c r="D26" s="225"/>
      <c r="E26" s="177"/>
      <c r="F26" s="178"/>
      <c r="G26" s="176"/>
      <c r="H26" s="235"/>
      <c r="I26" s="235"/>
      <c r="J26" s="176"/>
      <c r="K26" s="74">
        <v>16000</v>
      </c>
      <c r="L26" s="124"/>
      <c r="M26" s="172"/>
      <c r="N26" s="74"/>
      <c r="O26" s="124"/>
      <c r="P26" s="172"/>
      <c r="Q26" s="74"/>
      <c r="R26" s="124"/>
      <c r="T26" s="108"/>
    </row>
    <row r="27" spans="1:33" ht="34.200000000000003" customHeight="1" x14ac:dyDescent="0.3">
      <c r="A27" s="108"/>
      <c r="B27" s="176"/>
      <c r="C27" s="224"/>
      <c r="D27" s="225"/>
      <c r="E27" s="177"/>
      <c r="F27" s="178"/>
      <c r="G27" s="176"/>
      <c r="H27" s="304" t="str">
        <f>IF(OR('Calculations - Case Temp 1'!C52="FAIL",'Calculations - Case Temp 2'!C52="FAIL",'Calculations - Case Temp 3'!C52="FAIL"),"Data measurement points must be equally dispersed in time. Please see TM-21 Addendum A for details.","")</f>
        <v/>
      </c>
      <c r="I27" s="304"/>
      <c r="J27" s="176"/>
      <c r="K27" s="74">
        <v>17000</v>
      </c>
      <c r="L27" s="124"/>
      <c r="M27" s="172"/>
      <c r="N27" s="74"/>
      <c r="O27" s="124"/>
      <c r="P27" s="172"/>
      <c r="Q27" s="74"/>
      <c r="R27" s="124"/>
      <c r="T27" s="108"/>
    </row>
    <row r="28" spans="1:33" ht="28.8" customHeight="1" x14ac:dyDescent="0.3">
      <c r="A28" s="108"/>
      <c r="B28" s="176"/>
      <c r="C28" s="224"/>
      <c r="D28" s="225"/>
      <c r="E28" s="177"/>
      <c r="F28" s="178"/>
      <c r="G28" s="176"/>
      <c r="H28" s="305" t="str">
        <f>IF(I33&gt;I20,"The drive current of the chip in the luminaire must be less than or equal to the chip as tested under LM-80.","")</f>
        <v/>
      </c>
      <c r="I28" s="305"/>
      <c r="J28" s="185"/>
      <c r="K28" s="74">
        <v>18000</v>
      </c>
      <c r="L28" s="124"/>
      <c r="M28" s="172"/>
      <c r="N28" s="74"/>
      <c r="O28" s="124"/>
      <c r="P28" s="172"/>
      <c r="Q28" s="74"/>
      <c r="R28" s="124"/>
      <c r="T28" s="108"/>
    </row>
    <row r="29" spans="1:33" ht="19.5" customHeight="1" x14ac:dyDescent="0.25">
      <c r="A29" s="108"/>
      <c r="B29" s="185"/>
      <c r="C29" s="224"/>
      <c r="D29" s="225"/>
      <c r="E29" s="186"/>
      <c r="F29" s="187"/>
      <c r="G29" s="185"/>
      <c r="H29" s="303" t="str">
        <f>IF('TM-21 Inputs'!I34&gt;MAX('TM-21 Inputs'!I21:I23),"In situ case temperature must be less than or equal to the maximum LM-80 test temperature.","")</f>
        <v/>
      </c>
      <c r="I29" s="303"/>
      <c r="J29" s="185"/>
      <c r="K29" s="74">
        <v>19000</v>
      </c>
      <c r="L29" s="124"/>
      <c r="M29" s="172"/>
      <c r="N29" s="74"/>
      <c r="O29" s="124"/>
      <c r="P29" s="172"/>
      <c r="Q29" s="74"/>
      <c r="R29" s="124"/>
      <c r="T29" s="108"/>
    </row>
    <row r="30" spans="1:33" ht="34.799999999999997" customHeight="1" x14ac:dyDescent="0.25">
      <c r="A30" s="108"/>
      <c r="B30" s="185"/>
      <c r="C30" s="224"/>
      <c r="D30" s="225"/>
      <c r="E30" s="185"/>
      <c r="F30" s="187"/>
      <c r="G30" s="185"/>
      <c r="H30" s="302" t="str">
        <f>IFERROR(IF(OR('TM-21 Report'!M13&lt;0,'TM-21 Report'!M17&lt;0),"One or more of the tests resulted in negative L70 values. Please refer to sections 5.2.5 and 6.4 of IES TM-21-11 for instructions on how to estimate the reported lumen maintenance life (L70).",IF(I18="","",IF('Product Inputs'!C18="error","Number of samples measured must be ≥10. Please enter the correct number of samples in above",""))),"")</f>
        <v/>
      </c>
      <c r="I30" s="302"/>
      <c r="J30" s="185"/>
      <c r="K30" s="74">
        <v>20000</v>
      </c>
      <c r="L30" s="124"/>
      <c r="M30" s="172"/>
      <c r="N30" s="74"/>
      <c r="O30" s="124"/>
      <c r="P30" s="172"/>
      <c r="Q30" s="74"/>
      <c r="R30" s="124"/>
      <c r="T30" s="108"/>
    </row>
    <row r="31" spans="1:33" ht="23.25" customHeight="1" x14ac:dyDescent="0.25">
      <c r="A31" s="108"/>
      <c r="B31" s="186"/>
      <c r="C31" s="224"/>
      <c r="D31" s="225"/>
      <c r="E31" s="186"/>
      <c r="F31" s="187"/>
      <c r="G31" s="187"/>
      <c r="H31" s="108"/>
      <c r="I31" s="108"/>
      <c r="J31" s="187"/>
      <c r="K31" s="74">
        <v>21000</v>
      </c>
      <c r="L31" s="124"/>
      <c r="M31" s="172"/>
      <c r="N31" s="74"/>
      <c r="O31" s="124"/>
      <c r="P31" s="172"/>
      <c r="Q31" s="74"/>
      <c r="R31" s="124"/>
      <c r="T31" s="108"/>
    </row>
    <row r="32" spans="1:33" ht="23.25" customHeight="1" thickBot="1" x14ac:dyDescent="0.3">
      <c r="A32" s="108"/>
      <c r="B32" s="186"/>
      <c r="C32" s="224"/>
      <c r="D32" s="225"/>
      <c r="E32" s="186"/>
      <c r="F32" s="187"/>
      <c r="G32" s="185"/>
      <c r="H32" s="236" t="s">
        <v>92</v>
      </c>
      <c r="I32" s="237"/>
      <c r="K32" s="74">
        <v>22000</v>
      </c>
      <c r="L32" s="124"/>
      <c r="M32" s="172"/>
      <c r="N32" s="74"/>
      <c r="O32" s="124"/>
      <c r="P32" s="172"/>
      <c r="Q32" s="74"/>
      <c r="R32" s="124"/>
      <c r="T32" s="108"/>
    </row>
    <row r="33" spans="1:20" ht="39" customHeight="1" x14ac:dyDescent="0.25">
      <c r="A33" s="108"/>
      <c r="B33" s="186"/>
      <c r="C33" s="224"/>
      <c r="D33" s="225"/>
      <c r="E33" s="186"/>
      <c r="F33" s="187"/>
      <c r="H33" s="189" t="s">
        <v>94</v>
      </c>
      <c r="I33" s="73"/>
      <c r="K33" s="74">
        <v>23000</v>
      </c>
      <c r="L33" s="124"/>
      <c r="M33" s="172"/>
      <c r="N33" s="74"/>
      <c r="O33" s="124"/>
      <c r="P33" s="172"/>
      <c r="Q33" s="74"/>
      <c r="R33" s="124"/>
      <c r="T33" s="108"/>
    </row>
    <row r="34" spans="1:20" ht="22.8" customHeight="1" x14ac:dyDescent="0.25">
      <c r="A34" s="108"/>
      <c r="B34" s="186"/>
      <c r="C34" s="224"/>
      <c r="D34" s="225"/>
      <c r="E34" s="186"/>
      <c r="F34" s="187"/>
      <c r="H34" s="190" t="s">
        <v>95</v>
      </c>
      <c r="I34" s="74"/>
      <c r="K34" s="74">
        <v>24000</v>
      </c>
      <c r="L34" s="124"/>
      <c r="M34" s="172"/>
      <c r="N34" s="74"/>
      <c r="O34" s="124"/>
      <c r="P34" s="172"/>
      <c r="Q34" s="74"/>
      <c r="R34" s="124"/>
      <c r="T34" s="108"/>
    </row>
    <row r="35" spans="1:20" ht="39.6" customHeight="1" thickBot="1" x14ac:dyDescent="0.3">
      <c r="A35" s="108"/>
      <c r="B35" s="186"/>
      <c r="C35" s="224"/>
      <c r="D35" s="225"/>
      <c r="E35" s="186"/>
      <c r="F35" s="187"/>
      <c r="H35" s="191" t="s">
        <v>96</v>
      </c>
      <c r="I35" s="75"/>
      <c r="J35" s="192"/>
      <c r="K35" s="74">
        <v>25000</v>
      </c>
      <c r="L35" s="124"/>
      <c r="M35" s="172"/>
      <c r="N35" s="74"/>
      <c r="O35" s="124"/>
      <c r="P35" s="172"/>
      <c r="Q35" s="74"/>
      <c r="R35" s="124"/>
      <c r="T35" s="108"/>
    </row>
    <row r="36" spans="1:20" ht="23.25" customHeight="1" x14ac:dyDescent="0.25">
      <c r="A36" s="108"/>
      <c r="B36" s="186"/>
      <c r="C36" s="224"/>
      <c r="D36" s="225"/>
      <c r="E36" s="186"/>
      <c r="F36" s="187"/>
      <c r="H36" s="112"/>
      <c r="J36" s="193"/>
      <c r="K36" s="74">
        <v>26000</v>
      </c>
      <c r="L36" s="124"/>
      <c r="M36" s="172"/>
      <c r="N36" s="74"/>
      <c r="O36" s="124"/>
      <c r="P36" s="172"/>
      <c r="Q36" s="74"/>
      <c r="R36" s="124"/>
      <c r="T36" s="108"/>
    </row>
    <row r="37" spans="1:20" ht="23.25" customHeight="1" x14ac:dyDescent="0.3">
      <c r="A37" s="108"/>
      <c r="B37" s="194"/>
      <c r="C37" s="224"/>
      <c r="D37" s="225"/>
      <c r="E37" s="194"/>
      <c r="F37" s="187"/>
      <c r="G37" s="164"/>
      <c r="H37" s="195"/>
      <c r="I37" s="108"/>
      <c r="J37" s="164"/>
      <c r="K37" s="74">
        <v>27000</v>
      </c>
      <c r="L37" s="124"/>
      <c r="M37" s="172"/>
      <c r="N37" s="74"/>
      <c r="O37" s="124"/>
      <c r="P37" s="172"/>
      <c r="Q37" s="74"/>
      <c r="R37" s="124"/>
      <c r="T37" s="108"/>
    </row>
    <row r="38" spans="1:20" ht="23.25" customHeight="1" x14ac:dyDescent="0.3">
      <c r="A38" s="108"/>
      <c r="B38" s="194"/>
      <c r="C38" s="224"/>
      <c r="D38" s="225"/>
      <c r="E38" s="194"/>
      <c r="F38" s="187"/>
      <c r="H38" s="231" t="s">
        <v>9</v>
      </c>
      <c r="I38" s="232"/>
      <c r="K38" s="74">
        <v>28000</v>
      </c>
      <c r="L38" s="124"/>
      <c r="M38" s="172"/>
      <c r="N38" s="74"/>
      <c r="O38" s="124"/>
      <c r="P38" s="172"/>
      <c r="Q38" s="74"/>
      <c r="R38" s="124"/>
      <c r="T38" s="108"/>
    </row>
    <row r="39" spans="1:20" ht="23.25" customHeight="1" thickBot="1" x14ac:dyDescent="0.3">
      <c r="A39" s="108"/>
      <c r="C39" s="224"/>
      <c r="D39" s="225"/>
      <c r="F39" s="187"/>
      <c r="H39" s="112"/>
      <c r="K39" s="74">
        <v>29000</v>
      </c>
      <c r="L39" s="124"/>
      <c r="M39" s="172"/>
      <c r="N39" s="74"/>
      <c r="O39" s="124"/>
      <c r="P39" s="172"/>
      <c r="Q39" s="74"/>
      <c r="R39" s="124"/>
      <c r="T39" s="108"/>
    </row>
    <row r="40" spans="1:20" ht="36.6" customHeight="1" x14ac:dyDescent="0.25">
      <c r="A40" s="108"/>
      <c r="C40" s="224"/>
      <c r="D40" s="225"/>
      <c r="F40" s="187"/>
      <c r="H40" s="189" t="s">
        <v>93</v>
      </c>
      <c r="I40" s="127"/>
      <c r="J40" s="161"/>
      <c r="K40" s="74">
        <v>30000</v>
      </c>
      <c r="L40" s="124"/>
      <c r="M40" s="172"/>
      <c r="N40" s="74"/>
      <c r="O40" s="124"/>
      <c r="P40" s="172"/>
      <c r="Q40" s="74"/>
      <c r="R40" s="124"/>
      <c r="T40" s="108"/>
    </row>
    <row r="41" spans="1:20" ht="23.25" customHeight="1" thickBot="1" x14ac:dyDescent="0.3">
      <c r="A41" s="108"/>
      <c r="C41" s="224"/>
      <c r="D41" s="225"/>
      <c r="F41" s="187"/>
      <c r="H41" s="191" t="s">
        <v>46</v>
      </c>
      <c r="I41" s="128" t="str">
        <f>IFERROR(IF(H27="",IF(I40="","",IF('TM-21 Inputs'!I34="","",'Product Inputs'!C14*EXP(-I40*'Product Inputs'!C16))),""),"")</f>
        <v/>
      </c>
      <c r="K41" s="74">
        <v>31000</v>
      </c>
      <c r="L41" s="124"/>
      <c r="M41" s="172"/>
      <c r="N41" s="74"/>
      <c r="O41" s="124"/>
      <c r="P41" s="172"/>
      <c r="Q41" s="74"/>
      <c r="R41" s="124"/>
      <c r="T41" s="108"/>
    </row>
    <row r="42" spans="1:20" ht="23.25" customHeight="1" thickBot="1" x14ac:dyDescent="0.35">
      <c r="A42" s="108"/>
      <c r="C42" s="226"/>
      <c r="D42" s="227"/>
      <c r="F42" s="187"/>
      <c r="H42" s="196" t="str">
        <f>IF(I35="","Reported LM (hours):",CONCATENATE("Reported L",'TM-21 Inputs'!I35," (hours):"))</f>
        <v>Reported LM (hours):</v>
      </c>
      <c r="I42" s="202" t="str">
        <f>IFERROR(IF(H27="",IF('Product Inputs'!C18="error","",'Product Inputs'!C18),""),"")</f>
        <v/>
      </c>
      <c r="J42" s="299"/>
      <c r="K42" s="74">
        <v>32000</v>
      </c>
      <c r="L42" s="124"/>
      <c r="M42" s="172"/>
      <c r="N42" s="74"/>
      <c r="O42" s="124"/>
      <c r="P42" s="172"/>
      <c r="Q42" s="74"/>
      <c r="R42" s="124"/>
      <c r="T42" s="108"/>
    </row>
    <row r="43" spans="1:20" ht="23.25" customHeight="1" thickBot="1" x14ac:dyDescent="0.3">
      <c r="A43" s="108"/>
      <c r="C43" s="228"/>
      <c r="D43" s="229"/>
      <c r="F43" s="187"/>
      <c r="J43" s="299"/>
      <c r="K43" s="74">
        <v>33000</v>
      </c>
      <c r="L43" s="124"/>
      <c r="M43" s="172"/>
      <c r="N43" s="74"/>
      <c r="O43" s="124"/>
      <c r="P43" s="172"/>
      <c r="Q43" s="74"/>
      <c r="R43" s="124"/>
      <c r="T43" s="108"/>
    </row>
    <row r="44" spans="1:20" ht="23.25" customHeight="1" x14ac:dyDescent="0.25">
      <c r="A44" s="108"/>
      <c r="F44" s="187"/>
      <c r="J44" s="197"/>
      <c r="K44" s="74">
        <v>34000</v>
      </c>
      <c r="L44" s="124"/>
      <c r="M44" s="172"/>
      <c r="N44" s="74"/>
      <c r="O44" s="124"/>
      <c r="P44" s="172"/>
      <c r="Q44" s="74"/>
      <c r="R44" s="124"/>
      <c r="T44" s="108"/>
    </row>
    <row r="45" spans="1:20" ht="23.25" customHeight="1" x14ac:dyDescent="0.3">
      <c r="A45" s="108"/>
      <c r="B45" s="108"/>
      <c r="C45" s="108"/>
      <c r="D45" s="108"/>
      <c r="E45" s="108"/>
      <c r="F45" s="108"/>
      <c r="G45" s="108"/>
      <c r="H45" s="108"/>
      <c r="I45" s="108"/>
      <c r="J45" s="164"/>
      <c r="K45" s="74">
        <v>35000</v>
      </c>
      <c r="L45" s="124"/>
      <c r="M45" s="172"/>
      <c r="N45" s="74"/>
      <c r="O45" s="124"/>
      <c r="P45" s="172"/>
      <c r="Q45" s="74"/>
      <c r="R45" s="124"/>
      <c r="T45" s="108"/>
    </row>
    <row r="46" spans="1:20" ht="23.25" customHeight="1" x14ac:dyDescent="0.25">
      <c r="A46" s="300"/>
      <c r="C46" s="161"/>
      <c r="K46" s="74">
        <v>36000</v>
      </c>
      <c r="L46" s="124"/>
      <c r="M46" s="172"/>
      <c r="N46" s="74"/>
      <c r="O46" s="124"/>
      <c r="P46" s="172"/>
      <c r="Q46" s="74"/>
      <c r="R46" s="124"/>
      <c r="T46" s="108"/>
    </row>
    <row r="47" spans="1:20" ht="23.25" customHeight="1" x14ac:dyDescent="0.25">
      <c r="A47" s="300"/>
      <c r="K47" s="74">
        <v>37000</v>
      </c>
      <c r="L47" s="124"/>
      <c r="M47" s="172"/>
      <c r="N47" s="74"/>
      <c r="O47" s="124"/>
      <c r="P47" s="172"/>
      <c r="Q47" s="74"/>
      <c r="R47" s="124"/>
      <c r="T47" s="108"/>
    </row>
    <row r="48" spans="1:20" ht="23.25" customHeight="1" x14ac:dyDescent="0.25">
      <c r="A48" s="300"/>
      <c r="K48" s="74">
        <v>38000</v>
      </c>
      <c r="L48" s="124"/>
      <c r="M48" s="172"/>
      <c r="N48" s="74"/>
      <c r="O48" s="124"/>
      <c r="P48" s="172"/>
      <c r="Q48" s="74"/>
      <c r="R48" s="124"/>
      <c r="T48" s="108"/>
    </row>
    <row r="49" spans="1:20" ht="23.25" customHeight="1" thickBot="1" x14ac:dyDescent="0.3">
      <c r="A49" s="300"/>
      <c r="K49" s="75">
        <v>39000</v>
      </c>
      <c r="L49" s="126"/>
      <c r="M49" s="172"/>
      <c r="N49" s="75"/>
      <c r="O49" s="126"/>
      <c r="P49" s="172"/>
      <c r="Q49" s="75"/>
      <c r="R49" s="126"/>
      <c r="T49" s="108"/>
    </row>
    <row r="50" spans="1:20" x14ac:dyDescent="0.25">
      <c r="A50" s="300"/>
      <c r="J50" s="188"/>
      <c r="T50" s="300"/>
    </row>
    <row r="51" spans="1:20" x14ac:dyDescent="0.25">
      <c r="A51" s="300"/>
      <c r="B51" s="300"/>
      <c r="C51" s="300"/>
      <c r="D51" s="300"/>
      <c r="E51" s="300"/>
      <c r="F51" s="300"/>
      <c r="G51" s="300"/>
      <c r="H51" s="300"/>
      <c r="I51" s="300"/>
      <c r="J51" s="301"/>
      <c r="K51" s="301"/>
      <c r="L51" s="301"/>
      <c r="M51" s="301"/>
      <c r="N51" s="301"/>
      <c r="O51" s="301"/>
      <c r="P51" s="301"/>
      <c r="Q51" s="301"/>
      <c r="R51" s="301"/>
      <c r="S51" s="300"/>
      <c r="T51" s="300"/>
    </row>
    <row r="52" spans="1:20" x14ac:dyDescent="0.25">
      <c r="J52" s="188"/>
    </row>
  </sheetData>
  <sheetProtection algorithmName="SHA-512" hashValue="XA7zPeeCiRAai8g2x2aStw1wiosr1GGalIN9fds8r5BqFgv6cUhiP+a+RfOK3cFk9DN44TLOiswnPI1h6yF18A==" saltValue="0SNXtmcTAOtRCdD5uP2d0g==" spinCount="100000" sheet="1" objects="1" scenarios="1"/>
  <mergeCells count="17">
    <mergeCell ref="H28:I28"/>
    <mergeCell ref="H27:I27"/>
    <mergeCell ref="C8:D8"/>
    <mergeCell ref="G7:S7"/>
    <mergeCell ref="B2:S5"/>
    <mergeCell ref="H9:I12"/>
    <mergeCell ref="K8:L8"/>
    <mergeCell ref="N8:O8"/>
    <mergeCell ref="Q8:R8"/>
    <mergeCell ref="C9:D43"/>
    <mergeCell ref="H8:I8"/>
    <mergeCell ref="H38:I38"/>
    <mergeCell ref="H15:I15"/>
    <mergeCell ref="H24:I26"/>
    <mergeCell ref="H32:I32"/>
    <mergeCell ref="H30:I30"/>
    <mergeCell ref="H29:I29"/>
  </mergeCells>
  <conditionalFormatting sqref="I18">
    <cfRule type="cellIs" dxfId="1" priority="1" operator="lessThan">
      <formula>10</formula>
    </cfRule>
  </conditionalFormatting>
  <pageMargins left="0.7" right="0.7" top="0.75" bottom="0.75" header="0.3" footer="0.3"/>
  <pageSetup scale="43" orientation="landscape" horizontalDpi="300" verticalDpi="300" r:id="rId1"/>
  <colBreaks count="1" manualBreakCount="1">
    <brk id="20"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2:M18"/>
  <sheetViews>
    <sheetView showGridLines="0" showRowColHeaders="0" zoomScale="70" zoomScaleNormal="70" workbookViewId="0">
      <selection activeCell="C5" sqref="C5"/>
    </sheetView>
  </sheetViews>
  <sheetFormatPr defaultColWidth="9.109375" defaultRowHeight="14.4" x14ac:dyDescent="0.3"/>
  <cols>
    <col min="1" max="1" width="9.109375" style="58"/>
    <col min="2" max="2" width="44.88671875" style="58" customWidth="1"/>
    <col min="3" max="3" width="15.44140625" style="58" customWidth="1"/>
    <col min="4" max="4" width="12.33203125" style="1" bestFit="1" customWidth="1"/>
    <col min="5" max="5" width="9.109375" style="1"/>
    <col min="6" max="6" width="19.88671875" style="1" customWidth="1"/>
    <col min="7" max="7" width="13" style="1" customWidth="1"/>
    <col min="8" max="8" width="2.88671875" style="1" customWidth="1"/>
    <col min="9" max="9" width="19.88671875" style="1" bestFit="1" customWidth="1"/>
    <col min="10" max="10" width="13" style="1" customWidth="1"/>
    <col min="11" max="11" width="2.6640625" style="1" customWidth="1"/>
    <col min="12" max="12" width="19.88671875" style="1" bestFit="1" customWidth="1"/>
    <col min="13" max="13" width="13" style="1" customWidth="1"/>
    <col min="14" max="16384" width="9.109375" style="1"/>
  </cols>
  <sheetData>
    <row r="2" spans="2:13" ht="15" thickBot="1" x14ac:dyDescent="0.35">
      <c r="B2" s="59" t="s">
        <v>34</v>
      </c>
      <c r="C2" s="70">
        <f>COUNTIF('TM-21 Inputs'!I21:I23,"&gt;="&amp;0)</f>
        <v>0</v>
      </c>
    </row>
    <row r="3" spans="2:13" ht="30.6" thickBot="1" x14ac:dyDescent="0.35">
      <c r="B3" s="60" t="s">
        <v>36</v>
      </c>
      <c r="C3" s="61" t="str">
        <f>IF(OR(C15='Product Inputs'!G7,C15='Product Inputs'!J7,C15='Product Inputs'!M7),C15,IF(C15&gt;MAX('Product Inputs'!G7,'Product Inputs'!J7,'Product Inputs'!M7),"In situ case temp too high",IF(C2=1,'Product Inputs'!G7,IF(AND(C2=2,C15&lt;MIN('Product Inputs'!G7,'Product Inputs'!J7)),'Product Inputs'!G7,IF(AND(C2=2,C15&gt;MIN('Product Inputs'!G7,'Product Inputs'!J7),C15&lt;MAX('Product Inputs'!G7,'Product Inputs'!J7)),MIN('Product Inputs'!G7,'Product Inputs'!J7),IF(AND(C2=3,C15&lt;MIN('Product Inputs'!G7,'Product Inputs'!J7,'Product Inputs'!M7)),'Product Inputs'!G7,IF(AND(C2=3,C15&gt;MIN('Product Inputs'!G7,'Product Inputs'!J7,'Product Inputs'!M7),C15&lt;MEDIAN('Product Inputs'!G7,'Product Inputs'!J7,'Product Inputs'!M7)),MIN('Product Inputs'!G7,'Product Inputs'!J7,'Product Inputs'!M7),IF(AND(C2=3,C15&gt;MEDIAN('Product Inputs'!G7,'Product Inputs'!J7,'Product Inputs'!M7),C15&lt;MAX('Product Inputs'!G7,'Product Inputs'!J7,'Product Inputs'!M7)),MEDIAN('Product Inputs'!G7,'Product Inputs'!J7,'Product Inputs'!M7),"error"))))))))</f>
        <v/>
      </c>
    </row>
    <row r="4" spans="2:13" ht="15.6" x14ac:dyDescent="0.3">
      <c r="B4" s="62" t="s">
        <v>20</v>
      </c>
      <c r="C4" s="98" t="str">
        <f>IF(C3='Product Inputs'!G7,'Product Inputs'!G8,IF(C3='Product Inputs'!J7,'Product Inputs'!J8,IF(C3='Product Inputs'!M7,'Product Inputs'!M8)))</f>
        <v/>
      </c>
      <c r="F4" s="238" t="s">
        <v>57</v>
      </c>
      <c r="G4" s="239"/>
      <c r="H4" s="239"/>
      <c r="I4" s="239"/>
      <c r="J4" s="239"/>
      <c r="K4" s="239"/>
      <c r="L4" s="239"/>
      <c r="M4" s="240"/>
    </row>
    <row r="5" spans="2:13" ht="16.2" thickBot="1" x14ac:dyDescent="0.35">
      <c r="B5" s="63" t="s">
        <v>21</v>
      </c>
      <c r="C5" s="99" t="str">
        <f>IF(C3='Product Inputs'!G7,'Product Inputs'!G9,IF(C3='Product Inputs'!J7,'Product Inputs'!J9,IF(C3='Product Inputs'!M7,'Product Inputs'!M9)))</f>
        <v/>
      </c>
      <c r="F5" s="241" t="s">
        <v>12</v>
      </c>
      <c r="G5" s="242"/>
      <c r="H5" s="76"/>
      <c r="I5" s="243" t="s">
        <v>13</v>
      </c>
      <c r="J5" s="242"/>
      <c r="K5" s="76"/>
      <c r="L5" s="243" t="s">
        <v>14</v>
      </c>
      <c r="M5" s="244"/>
    </row>
    <row r="6" spans="2:13" ht="30" x14ac:dyDescent="0.3">
      <c r="B6" s="60" t="s">
        <v>37</v>
      </c>
      <c r="C6" s="64" t="str">
        <f>IF(OR(C15='Product Inputs'!G7,C15='Product Inputs'!J7,C15='Product Inputs'!M7,C2=1),"N/A",IF(C15&gt;MAX('Product Inputs'!G7,'Product Inputs'!J7,'Product Inputs'!M7),"N/A",IF(OR(AND(C2=3,C15&lt;=MIN('Product Inputs'!G7,'Product Inputs'!J7,'Product Inputs'!M7)),AND(C15&lt;=MIN('Product Inputs'!G7,'Product Inputs'!J7),C2=2)),"N/A",IF(AND(C2=2,C15&gt;MIN('Product Inputs'!G7,'Product Inputs'!J7),C15&lt;MAX('Product Inputs'!G7,'Product Inputs'!J7)),MAX('Product Inputs'!G7,'Product Inputs'!J7),IF(AND(C2=3,C15&gt;MIN('Product Inputs'!G7,'Product Inputs'!J7,'Product Inputs'!M7),C15&lt;MEDIAN('Product Inputs'!G7,'Product Inputs'!J7,'Product Inputs'!M7)),MEDIAN('Product Inputs'!G7,'Product Inputs'!J7,'Product Inputs'!M7),IF(AND(C2=3,C15&gt;MEDIAN('Product Inputs'!G7,'Product Inputs'!J7,'Product Inputs'!M7),C15&lt;MAX('Product Inputs'!G7,'Product Inputs'!J7,'Product Inputs'!M7)),MAX('Product Inputs'!G7,'Product Inputs'!J7,'Product Inputs'!M7),"error"))))))</f>
        <v>N/A</v>
      </c>
      <c r="F6" s="77" t="s">
        <v>10</v>
      </c>
      <c r="G6" s="78" t="str">
        <f>IF('TM-21 Inputs'!I21="","",'TM-21 Inputs'!I21)</f>
        <v/>
      </c>
      <c r="H6" s="79"/>
      <c r="I6" s="80" t="s">
        <v>10</v>
      </c>
      <c r="J6" s="78" t="str">
        <f>IF('TM-21 Inputs'!I22="","",'TM-21 Inputs'!I22)</f>
        <v/>
      </c>
      <c r="K6" s="79"/>
      <c r="L6" s="80" t="s">
        <v>10</v>
      </c>
      <c r="M6" s="81" t="str">
        <f>IF('TM-21 Inputs'!I23="","",'TM-21 Inputs'!I23)</f>
        <v/>
      </c>
    </row>
    <row r="7" spans="2:13" ht="15" x14ac:dyDescent="0.3">
      <c r="B7" s="62" t="s">
        <v>22</v>
      </c>
      <c r="C7" s="98" t="str">
        <f>IF(C6="N/A","N/A",IF(C6='Product Inputs'!G7,'Product Inputs'!G8,IF(C6='Product Inputs'!J7,'Product Inputs'!J8,IF(C6='Product Inputs'!M7,'Product Inputs'!M8))))</f>
        <v>N/A</v>
      </c>
      <c r="F7" s="82" t="s">
        <v>11</v>
      </c>
      <c r="G7" s="83" t="str">
        <f>IF(G6="","",G6+273.15)</f>
        <v/>
      </c>
      <c r="H7" s="79"/>
      <c r="I7" s="84" t="s">
        <v>11</v>
      </c>
      <c r="J7" s="83" t="str">
        <f>IF(J6="","",J6+273.15)</f>
        <v/>
      </c>
      <c r="K7" s="85"/>
      <c r="L7" s="84" t="s">
        <v>11</v>
      </c>
      <c r="M7" s="86" t="str">
        <f>IF(M6="","",M6+273.15)</f>
        <v/>
      </c>
    </row>
    <row r="8" spans="2:13" ht="16.2" thickBot="1" x14ac:dyDescent="0.35">
      <c r="B8" s="63" t="s">
        <v>23</v>
      </c>
      <c r="C8" s="99" t="str">
        <f>IF(C6="N/A","N/A",IF(C6='Product Inputs'!G7,'Product Inputs'!G9,IF(C6='Product Inputs'!J7,'Product Inputs'!J9,IF(C6='Product Inputs'!M7,'Product Inputs'!M9))))</f>
        <v>N/A</v>
      </c>
      <c r="F8" s="82" t="str">
        <f>'Calculations - Case Temp 1'!E57</f>
        <v>α:</v>
      </c>
      <c r="G8" s="87" t="str">
        <f>IF(G6="","",'Calculations - Case Temp 1'!F57)</f>
        <v/>
      </c>
      <c r="H8" s="85"/>
      <c r="I8" s="84" t="str">
        <f>'Calculations - Case Temp 2'!E57</f>
        <v>α:</v>
      </c>
      <c r="J8" s="87" t="str">
        <f>IF(J6="","",'Calculations - Case Temp 2'!F57)</f>
        <v/>
      </c>
      <c r="K8" s="85"/>
      <c r="L8" s="84" t="str">
        <f>'Calculations - Case Temp 3'!E57</f>
        <v>α:</v>
      </c>
      <c r="M8" s="88" t="str">
        <f>IF(M6="","",'Calculations - Case Temp 3'!F57)</f>
        <v/>
      </c>
    </row>
    <row r="9" spans="2:13" ht="15.6" x14ac:dyDescent="0.3">
      <c r="B9" s="65" t="s">
        <v>19</v>
      </c>
      <c r="C9" s="64" t="str">
        <f>IF(OR(C6="N/A",'TM-21 Inputs'!I34=""),"",IF(AND(C3&gt;0,C6&gt;0),(LN(C4)-LN(C7))/((1/C6)-(1/C3)),"error"))</f>
        <v/>
      </c>
      <c r="F9" s="82" t="str">
        <f>'Calculations - Case Temp 1'!E58</f>
        <v>B:</v>
      </c>
      <c r="G9" s="89" t="str">
        <f>IF(G6="","",'Calculations - Case Temp 1'!F58)</f>
        <v/>
      </c>
      <c r="H9" s="85"/>
      <c r="I9" s="84" t="str">
        <f>'Calculations - Case Temp 2'!E58</f>
        <v>B:</v>
      </c>
      <c r="J9" s="89" t="str">
        <f>IF(J6="","",'Calculations - Case Temp 2'!F58)</f>
        <v/>
      </c>
      <c r="K9" s="85"/>
      <c r="L9" s="84" t="str">
        <f>'Calculations - Case Temp 3'!E58</f>
        <v>B:</v>
      </c>
      <c r="M9" s="90" t="str">
        <f>IF(M6="","",'Calculations - Case Temp 3'!F58)</f>
        <v/>
      </c>
    </row>
    <row r="10" spans="2:13" hidden="1" x14ac:dyDescent="0.3">
      <c r="F10" s="82" t="str">
        <f>'Calculations - Case Temp 1'!E59</f>
        <v>Calculated L (hrs):</v>
      </c>
      <c r="G10" s="91" t="str">
        <f>IF(G6="","",IF('Calculations - Case Temp 1'!C52="FAIL","",'Calculations - Case Temp 1'!F59))</f>
        <v/>
      </c>
      <c r="H10" s="85"/>
      <c r="I10" s="84" t="str">
        <f>'Calculations - Case Temp 2'!E59</f>
        <v>Calculated L (hrs):</v>
      </c>
      <c r="J10" s="91" t="str">
        <f>IF(J6="","",IF('Calculations - Case Temp 2'!C52="FAIL","",'Calculations - Case Temp 2'!F59))</f>
        <v/>
      </c>
      <c r="K10" s="85"/>
      <c r="L10" s="84" t="str">
        <f>'Calculations - Case Temp 3'!E59</f>
        <v>Calculated L (hrs):</v>
      </c>
      <c r="M10" s="92" t="str">
        <f>IF(M6="","",IF('Calculations - Case Temp 3'!C52="FAIL","",'Calculations - Case Temp 3'!F59))</f>
        <v/>
      </c>
    </row>
    <row r="11" spans="2:13" ht="16.2" thickBot="1" x14ac:dyDescent="0.35">
      <c r="B11" s="66" t="s">
        <v>24</v>
      </c>
      <c r="C11" s="67">
        <f>8.6173*(10^-5)</f>
        <v>8.6173000000000003E-5</v>
      </c>
      <c r="F11" s="93" t="str">
        <f>'Calculations - Case Temp 1'!E60</f>
        <v>Reported L (hrs):</v>
      </c>
      <c r="G11" s="94" t="str">
        <f>IF(G6="","",IF('Calculations - Case Temp 1'!C52="FAIL","",'Calculations - Case Temp 1'!F60))</f>
        <v/>
      </c>
      <c r="H11" s="95"/>
      <c r="I11" s="96" t="str">
        <f>'Calculations - Case Temp 2'!E60</f>
        <v>Reported L (hrs):</v>
      </c>
      <c r="J11" s="94" t="str">
        <f>IF(J6="","",IF('Calculations - Case Temp 2'!C52="FAIL","",'Calculations - Case Temp 2'!F60))</f>
        <v/>
      </c>
      <c r="K11" s="95"/>
      <c r="L11" s="96" t="str">
        <f>'Calculations - Case Temp 3'!E60</f>
        <v>Reported L (hrs):</v>
      </c>
      <c r="M11" s="97" t="str">
        <f>IF(M6="","",IF('Calculations - Case Temp 3'!C52="FAIL","",'Calculations - Case Temp 3'!F60))</f>
        <v/>
      </c>
    </row>
    <row r="12" spans="2:13" ht="15.6" x14ac:dyDescent="0.3">
      <c r="B12" s="66" t="s">
        <v>25</v>
      </c>
      <c r="C12" s="67" t="str">
        <f>IF(OR(C6="N/A",'TM-21 Inputs'!I34=""),"",C9*C11)</f>
        <v/>
      </c>
    </row>
    <row r="13" spans="2:13" x14ac:dyDescent="0.3">
      <c r="B13" s="66" t="s">
        <v>2</v>
      </c>
      <c r="C13" s="98" t="str">
        <f>IF(OR(C6="N/A",'TM-21 Inputs'!I34=""),"",IF('TM-21 Inputs'!I34="","",C4*EXP(C12/(C11*C3))))</f>
        <v/>
      </c>
    </row>
    <row r="14" spans="2:13" ht="16.2" thickBot="1" x14ac:dyDescent="0.35">
      <c r="B14" s="68" t="s">
        <v>26</v>
      </c>
      <c r="C14" s="99" t="str">
        <f>IF('TM-21 Inputs'!I34="","",IF(C6="N/A",C5,IF('TM-21 Inputs'!I34="","",SQRT(C5*C8))))</f>
        <v/>
      </c>
      <c r="I14" s="1" t="s">
        <v>58</v>
      </c>
    </row>
    <row r="15" spans="2:13" ht="15.6" x14ac:dyDescent="0.3">
      <c r="B15" s="60" t="s">
        <v>38</v>
      </c>
      <c r="C15" s="69" t="str">
        <f>IF('TM-21 Inputs'!I34="","",'TM-21 Inputs'!I34+273.15)</f>
        <v/>
      </c>
    </row>
    <row r="16" spans="2:13" ht="15.6" x14ac:dyDescent="0.3">
      <c r="B16" s="62" t="s">
        <v>27</v>
      </c>
      <c r="C16" s="98" t="str">
        <f>IF('TM-21 Inputs'!I34="","",IF(C6="N/A",C4,C13*(EXP(-C9/C15))))</f>
        <v/>
      </c>
    </row>
    <row r="17" spans="2:3" hidden="1" x14ac:dyDescent="0.3">
      <c r="B17" s="66" t="str">
        <f>CONCATENATE("Calculated L",'TM-21 Inputs'!I35," (hrs):")</f>
        <v>Calculated L (hrs):</v>
      </c>
      <c r="C17" s="105" t="str">
        <f>IF('TM-21 Inputs'!I34="","",ROUND((LN(100*C14/'TM-21 Inputs'!I35)/C16),-3))</f>
        <v/>
      </c>
    </row>
    <row r="18" spans="2:3" ht="15" thickBot="1" x14ac:dyDescent="0.35">
      <c r="B18" s="68" t="str">
        <f>CONCATENATE("Reported L",'TM-21 Inputs'!I35," (hrs):")</f>
        <v>Reported L (hrs):</v>
      </c>
      <c r="C18" s="104" t="str">
        <f>IF(C17="","",IF(OR(AND('TM-21 Inputs'!$I$18&gt;=20,$C$17&lt;6*'TM-21 Inputs'!$I$19),AND('TM-21 Inputs'!$I$18&gt;=10,'TM-21 Inputs'!$I$18&lt;=19,$C$17&lt;5.5*'TM-21 Inputs'!$I$19)),ROUND(C17,-3),IF('TM-21 Inputs'!$I$18&gt;=20,CONCATENATE("&gt;",ROUND((6*'TM-21 Inputs'!$I$19),-3)),IF(AND('TM-21 Inputs'!$I$18&gt;=10,'TM-21 Inputs'!$I$18&lt;=19),CONCATENATE("&gt;",ROUND(5.5*'TM-21 Inputs'!$I$19,-3)),"error"))))</f>
        <v/>
      </c>
    </row>
  </sheetData>
  <sheetProtection algorithmName="SHA-512" hashValue="CTEgrUcfPCYn+U7uvAOmetpnfcWq7GXyiKinW44cQ1sI/E1MRw06QAJ0mUhMvgvZAbeHd9+jc9GWqUyiYlSHnQ==" saltValue="JwBtMSdDNTaCslxZ/rM0rg==" spinCount="100000" sheet="1" objects="1" scenarios="1"/>
  <mergeCells count="4">
    <mergeCell ref="F4:M4"/>
    <mergeCell ref="F5:G5"/>
    <mergeCell ref="I5:J5"/>
    <mergeCell ref="L5:M5"/>
  </mergeCells>
  <conditionalFormatting sqref="C3">
    <cfRule type="cellIs" dxfId="0" priority="1" operator="equal">
      <formula>"In situ case temp too high"</formula>
    </cfRule>
  </conditionalFormatting>
  <pageMargins left="0.7" right="0.7" top="0.75" bottom="0.75" header="0.3" footer="0.3"/>
  <pageSetup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1:L15"/>
  <sheetViews>
    <sheetView showGridLines="0" showRowColHeaders="0" topLeftCell="J1" workbookViewId="0">
      <selection activeCell="K11" sqref="K11"/>
    </sheetView>
  </sheetViews>
  <sheetFormatPr defaultColWidth="9.109375" defaultRowHeight="14.4" x14ac:dyDescent="0.3"/>
  <cols>
    <col min="1" max="1" width="0" style="1" hidden="1" customWidth="1"/>
    <col min="2" max="2" width="37.88671875" style="1" hidden="1" customWidth="1"/>
    <col min="3" max="3" width="12" style="1" hidden="1" customWidth="1"/>
    <col min="4" max="4" width="0" style="1" hidden="1" customWidth="1"/>
    <col min="5" max="5" width="37.88671875" style="1" hidden="1" customWidth="1"/>
    <col min="6" max="6" width="12" style="1" hidden="1" customWidth="1"/>
    <col min="7" max="7" width="0" style="1" hidden="1" customWidth="1"/>
    <col min="8" max="8" width="37.88671875" style="1" hidden="1" customWidth="1"/>
    <col min="9" max="9" width="12" style="1" hidden="1" customWidth="1"/>
    <col min="10" max="10" width="9.109375" style="1"/>
    <col min="11" max="11" width="19.33203125" style="1" bestFit="1" customWidth="1"/>
    <col min="12" max="12" width="12" style="1" bestFit="1" customWidth="1"/>
    <col min="13" max="16384" width="9.109375" style="1"/>
  </cols>
  <sheetData>
    <row r="1" spans="2:12" ht="15" thickBot="1" x14ac:dyDescent="0.35"/>
    <row r="2" spans="2:12" ht="15.6" x14ac:dyDescent="0.35">
      <c r="B2" s="46" t="s">
        <v>39</v>
      </c>
      <c r="C2" s="57">
        <f>'TM-21 Inputs'!I16</f>
        <v>0</v>
      </c>
      <c r="E2" s="46" t="s">
        <v>39</v>
      </c>
      <c r="F2" s="57">
        <f>'TM-21 Inputs'!I16</f>
        <v>0</v>
      </c>
      <c r="H2" s="46" t="s">
        <v>39</v>
      </c>
      <c r="I2" s="57">
        <f>'TM-21 Inputs'!I16</f>
        <v>0</v>
      </c>
      <c r="K2" s="41" t="s">
        <v>28</v>
      </c>
      <c r="L2" s="53" t="str">
        <f>IFERROR('Product Inputs'!C3-273.15,"")</f>
        <v/>
      </c>
    </row>
    <row r="3" spans="2:12" ht="15.6" x14ac:dyDescent="0.35">
      <c r="B3" s="45" t="s">
        <v>40</v>
      </c>
      <c r="C3" s="47">
        <f>'TM-21 Inputs'!I17</f>
        <v>0</v>
      </c>
      <c r="E3" s="45" t="s">
        <v>40</v>
      </c>
      <c r="F3" s="47">
        <f>'TM-21 Inputs'!I17</f>
        <v>0</v>
      </c>
      <c r="H3" s="45" t="s">
        <v>40</v>
      </c>
      <c r="I3" s="47">
        <f>'TM-21 Inputs'!I17</f>
        <v>0</v>
      </c>
      <c r="K3" s="42" t="s">
        <v>29</v>
      </c>
      <c r="L3" s="54" t="str">
        <f>'Product Inputs'!C3</f>
        <v/>
      </c>
    </row>
    <row r="4" spans="2:12" ht="15.6" x14ac:dyDescent="0.35">
      <c r="B4" s="45" t="s">
        <v>0</v>
      </c>
      <c r="C4" s="47" t="str">
        <f>'TM-21 Inputs'!I18</f>
        <v/>
      </c>
      <c r="E4" s="45" t="s">
        <v>0</v>
      </c>
      <c r="F4" s="47" t="str">
        <f>'TM-21 Inputs'!I18</f>
        <v/>
      </c>
      <c r="H4" s="45" t="s">
        <v>0</v>
      </c>
      <c r="I4" s="47" t="str">
        <f>'TM-21 Inputs'!I18</f>
        <v/>
      </c>
      <c r="K4" s="43" t="s">
        <v>20</v>
      </c>
      <c r="L4" s="100" t="str">
        <f>'Product Inputs'!C4</f>
        <v/>
      </c>
    </row>
    <row r="5" spans="2:12" ht="16.2" thickBot="1" x14ac:dyDescent="0.4">
      <c r="B5" s="45" t="s">
        <v>41</v>
      </c>
      <c r="C5" s="47">
        <f>'TM-21 Inputs'!I20</f>
        <v>0</v>
      </c>
      <c r="E5" s="45" t="s">
        <v>41</v>
      </c>
      <c r="F5" s="47">
        <f>'TM-21 Inputs'!I20</f>
        <v>0</v>
      </c>
      <c r="H5" s="45" t="s">
        <v>41</v>
      </c>
      <c r="I5" s="47">
        <f>'TM-21 Inputs'!I20</f>
        <v>0</v>
      </c>
      <c r="K5" s="44" t="s">
        <v>21</v>
      </c>
      <c r="L5" s="102" t="str">
        <f>'Product Inputs'!C5</f>
        <v/>
      </c>
    </row>
    <row r="6" spans="2:12" ht="15.6" x14ac:dyDescent="0.35">
      <c r="B6" s="45" t="s">
        <v>42</v>
      </c>
      <c r="C6" s="47">
        <f>'TM-21 Inputs'!I19</f>
        <v>0</v>
      </c>
      <c r="E6" s="45" t="s">
        <v>42</v>
      </c>
      <c r="F6" s="47">
        <f>'TM-21 Inputs'!I19</f>
        <v>0</v>
      </c>
      <c r="H6" s="45" t="s">
        <v>42</v>
      </c>
      <c r="I6" s="47" t="str">
        <f>IF(I8="","",'TM-21 Inputs'!I19)</f>
        <v/>
      </c>
      <c r="K6" s="41" t="s">
        <v>35</v>
      </c>
      <c r="L6" s="53" t="str">
        <f>IFERROR('Product Inputs'!C6-273.15,"")</f>
        <v/>
      </c>
    </row>
    <row r="7" spans="2:12" ht="15.6" x14ac:dyDescent="0.35">
      <c r="B7" s="45" t="s">
        <v>43</v>
      </c>
      <c r="C7" s="48">
        <f>C6-MIN('Calculations - Case Temp 1'!E6:E26)</f>
        <v>0</v>
      </c>
      <c r="E7" s="45" t="s">
        <v>43</v>
      </c>
      <c r="F7" s="48">
        <f>C6-MIN('Calculations - Case Temp 2'!E6:E25)</f>
        <v>0</v>
      </c>
      <c r="H7" s="45" t="s">
        <v>43</v>
      </c>
      <c r="I7" s="48" t="str">
        <f>IF(I8="","",C6-MIN('Calculations - Case Temp 3'!E6:E25))</f>
        <v/>
      </c>
      <c r="K7" s="42" t="s">
        <v>30</v>
      </c>
      <c r="L7" s="55" t="str">
        <f>'Product Inputs'!C6</f>
        <v>N/A</v>
      </c>
    </row>
    <row r="8" spans="2:12" ht="15.6" x14ac:dyDescent="0.35">
      <c r="B8" s="45" t="s">
        <v>44</v>
      </c>
      <c r="C8" s="47" t="str">
        <f>IF('TM-21 Inputs'!I21="","",'TM-21 Inputs'!I21)</f>
        <v/>
      </c>
      <c r="E8" s="45" t="s">
        <v>44</v>
      </c>
      <c r="F8" s="47" t="str">
        <f>IF('TM-21 Inputs'!I22="","",'TM-21 Inputs'!I22)</f>
        <v/>
      </c>
      <c r="H8" s="45" t="s">
        <v>44</v>
      </c>
      <c r="I8" s="47" t="str">
        <f>IF('TM-21 Inputs'!I23="","",'TM-21 Inputs'!I23)</f>
        <v/>
      </c>
      <c r="K8" s="43" t="s">
        <v>31</v>
      </c>
      <c r="L8" s="100" t="str">
        <f>'Product Inputs'!C7</f>
        <v>N/A</v>
      </c>
    </row>
    <row r="9" spans="2:12" ht="16.2" thickBot="1" x14ac:dyDescent="0.4">
      <c r="B9" s="43" t="s">
        <v>17</v>
      </c>
      <c r="C9" s="49" t="e">
        <f>'Calculations - Case Temp 1'!F57</f>
        <v>#NUM!</v>
      </c>
      <c r="E9" s="43" t="s">
        <v>17</v>
      </c>
      <c r="F9" s="49" t="str">
        <f>'Calculations - Case Temp 2'!F57</f>
        <v/>
      </c>
      <c r="H9" s="43" t="s">
        <v>17</v>
      </c>
      <c r="I9" s="49" t="str">
        <f>IF(I8="","",'Calculations - Case Temp 3'!F57)</f>
        <v/>
      </c>
      <c r="K9" s="44" t="s">
        <v>23</v>
      </c>
      <c r="L9" s="102" t="str">
        <f>'Product Inputs'!C8</f>
        <v>N/A</v>
      </c>
    </row>
    <row r="10" spans="2:12" ht="15.6" x14ac:dyDescent="0.35">
      <c r="B10" s="45" t="s">
        <v>18</v>
      </c>
      <c r="C10" s="49" t="e">
        <f>'Calculations - Case Temp 1'!F58</f>
        <v>#NUM!</v>
      </c>
      <c r="E10" s="45" t="s">
        <v>18</v>
      </c>
      <c r="F10" s="49" t="str">
        <f>'Calculations - Case Temp 2'!F58</f>
        <v/>
      </c>
      <c r="H10" s="45" t="s">
        <v>18</v>
      </c>
      <c r="I10" s="49" t="str">
        <f>IF(I8="","",'Calculations - Case Temp 3'!F58)</f>
        <v/>
      </c>
      <c r="K10" s="41" t="s">
        <v>19</v>
      </c>
      <c r="L10" s="56" t="str">
        <f>'Product Inputs'!C9</f>
        <v/>
      </c>
    </row>
    <row r="11" spans="2:12" x14ac:dyDescent="0.3">
      <c r="B11" s="45" t="str">
        <f>CONCATENATE("Calculated L",'TM-21 Inputs'!I35," (hrs):")</f>
        <v>Calculated L (hrs):</v>
      </c>
      <c r="C11" s="50" t="e">
        <f>'Calculations - Case Temp 1'!F59</f>
        <v>#NUM!</v>
      </c>
      <c r="E11" s="45" t="str">
        <f>CONCATENATE("Calculated L",'TM-21 Inputs'!I35," (hrs):")</f>
        <v>Calculated L (hrs):</v>
      </c>
      <c r="F11" s="50" t="str">
        <f>'Calculations - Case Temp 2'!F59</f>
        <v/>
      </c>
      <c r="H11" s="45" t="str">
        <f>CONCATENATE("Calculated L",'TM-21 Inputs'!I35," (hrs):")</f>
        <v>Calculated L (hrs):</v>
      </c>
      <c r="I11" s="50" t="str">
        <f>IF(I8="","",'Calculations - Case Temp 3'!F59)</f>
        <v/>
      </c>
      <c r="K11" s="42" t="s">
        <v>2</v>
      </c>
      <c r="L11" s="102" t="str">
        <f>'Product Inputs'!C13</f>
        <v/>
      </c>
    </row>
    <row r="12" spans="2:12" ht="16.2" thickBot="1" x14ac:dyDescent="0.4">
      <c r="B12" s="51" t="str">
        <f>CONCATENATE("Reported L",'TM-21 Inputs'!I35," (hrs):")</f>
        <v>Reported L (hrs):</v>
      </c>
      <c r="C12" s="52" t="e">
        <f>'Calculations - Case Temp 1'!F60</f>
        <v>#NUM!</v>
      </c>
      <c r="E12" s="51" t="str">
        <f>CONCATENATE("Reported L",'TM-21 Inputs'!I35," (hrs):")</f>
        <v>Reported L (hrs):</v>
      </c>
      <c r="F12" s="52" t="str">
        <f>'Calculations - Case Temp 2'!F60</f>
        <v/>
      </c>
      <c r="H12" s="51" t="str">
        <f>CONCATENATE("Reported L",'TM-21 Inputs'!I35," (hrs):")</f>
        <v>Reported L (hrs):</v>
      </c>
      <c r="I12" s="52" t="str">
        <f>IF(I8="","",'Calculations - Case Temp 3'!F60)</f>
        <v/>
      </c>
      <c r="K12" s="44" t="s">
        <v>26</v>
      </c>
      <c r="L12" s="103" t="str">
        <f>'Product Inputs'!C14</f>
        <v/>
      </c>
    </row>
    <row r="13" spans="2:12" ht="15.6" x14ac:dyDescent="0.35">
      <c r="K13" s="41" t="s">
        <v>32</v>
      </c>
      <c r="L13" s="57" t="str">
        <f>IF('Product Inputs'!C15="","",'Product Inputs'!C15-273.15)</f>
        <v/>
      </c>
    </row>
    <row r="14" spans="2:12" ht="15.6" x14ac:dyDescent="0.35">
      <c r="K14" s="42" t="s">
        <v>33</v>
      </c>
      <c r="L14" s="47" t="str">
        <f>'Product Inputs'!C15</f>
        <v/>
      </c>
    </row>
    <row r="15" spans="2:12" ht="16.2" thickBot="1" x14ac:dyDescent="0.4">
      <c r="K15" s="71" t="s">
        <v>27</v>
      </c>
      <c r="L15" s="101" t="str">
        <f>'Product Inputs'!C16</f>
        <v/>
      </c>
    </row>
  </sheetData>
  <sheetProtection password="C066" sheet="1" objects="1" scenarios="1"/>
  <pageMargins left="0.7" right="0.7" top="0.75" bottom="0.75" header="0.3" footer="0.3"/>
  <pageSetup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O32"/>
  <sheetViews>
    <sheetView showGridLines="0" showRowColHeaders="0" zoomScale="90" zoomScaleNormal="90" workbookViewId="0">
      <selection activeCell="G22" sqref="G22"/>
    </sheetView>
  </sheetViews>
  <sheetFormatPr defaultColWidth="9.109375" defaultRowHeight="14.4" x14ac:dyDescent="0.3"/>
  <cols>
    <col min="1" max="1" width="1.88671875" style="109" customWidth="1"/>
    <col min="2" max="2" width="2.6640625" style="109" customWidth="1"/>
    <col min="3" max="3" width="23" style="109" customWidth="1"/>
    <col min="4" max="4" width="13.6640625" style="109" customWidth="1"/>
    <col min="5" max="5" width="2.109375" style="109" customWidth="1"/>
    <col min="6" max="6" width="23" style="109" customWidth="1"/>
    <col min="7" max="7" width="13.6640625" style="109" customWidth="1"/>
    <col min="8" max="8" width="2.109375" style="109" customWidth="1"/>
    <col min="9" max="9" width="23" style="109" customWidth="1"/>
    <col min="10" max="10" width="13.6640625" style="109" customWidth="1"/>
    <col min="11" max="11" width="3.88671875" style="109" customWidth="1"/>
    <col min="12" max="12" width="17.5546875" style="109" customWidth="1"/>
    <col min="13" max="13" width="33.33203125" style="109" customWidth="1"/>
    <col min="14" max="14" width="2.44140625" style="109" customWidth="1"/>
    <col min="15" max="15" width="1.88671875" style="109" customWidth="1"/>
    <col min="16" max="16384" width="9.109375" style="109"/>
  </cols>
  <sheetData>
    <row r="1" spans="1:15" ht="11.25" customHeight="1" x14ac:dyDescent="0.3">
      <c r="A1" s="107"/>
      <c r="B1" s="107"/>
      <c r="C1" s="108"/>
      <c r="D1" s="108"/>
      <c r="E1" s="108"/>
      <c r="F1" s="108"/>
      <c r="G1" s="108"/>
      <c r="H1" s="108"/>
      <c r="I1" s="108"/>
      <c r="J1" s="108"/>
      <c r="K1" s="108"/>
      <c r="L1" s="108"/>
      <c r="M1" s="108"/>
      <c r="N1" s="108"/>
      <c r="O1" s="108"/>
    </row>
    <row r="2" spans="1:15" ht="15" customHeight="1" x14ac:dyDescent="0.3">
      <c r="A2" s="107"/>
      <c r="B2" s="254" t="s">
        <v>90</v>
      </c>
      <c r="C2" s="254"/>
      <c r="D2" s="254"/>
      <c r="E2" s="254"/>
      <c r="F2" s="254"/>
      <c r="G2" s="254"/>
      <c r="H2" s="254"/>
      <c r="I2" s="254"/>
      <c r="J2" s="254"/>
      <c r="K2" s="254"/>
      <c r="L2" s="254"/>
      <c r="M2" s="254"/>
      <c r="N2" s="254"/>
      <c r="O2" s="108"/>
    </row>
    <row r="3" spans="1:15" ht="15" customHeight="1" x14ac:dyDescent="0.3">
      <c r="A3" s="107"/>
      <c r="B3" s="254"/>
      <c r="C3" s="254"/>
      <c r="D3" s="254"/>
      <c r="E3" s="254"/>
      <c r="F3" s="254"/>
      <c r="G3" s="254"/>
      <c r="H3" s="254"/>
      <c r="I3" s="254"/>
      <c r="J3" s="254"/>
      <c r="K3" s="254"/>
      <c r="L3" s="254"/>
      <c r="M3" s="254"/>
      <c r="N3" s="254"/>
      <c r="O3" s="108"/>
    </row>
    <row r="4" spans="1:15" ht="15" customHeight="1" x14ac:dyDescent="0.3">
      <c r="A4" s="107"/>
      <c r="B4" s="254"/>
      <c r="C4" s="254"/>
      <c r="D4" s="254"/>
      <c r="E4" s="254"/>
      <c r="F4" s="254"/>
      <c r="G4" s="254"/>
      <c r="H4" s="254"/>
      <c r="I4" s="254"/>
      <c r="J4" s="254"/>
      <c r="K4" s="254"/>
      <c r="L4" s="254"/>
      <c r="M4" s="254"/>
      <c r="N4" s="254"/>
      <c r="O4" s="108"/>
    </row>
    <row r="5" spans="1:15" ht="12" customHeight="1" x14ac:dyDescent="0.3">
      <c r="A5" s="107"/>
      <c r="B5" s="254"/>
      <c r="C5" s="254"/>
      <c r="D5" s="254"/>
      <c r="E5" s="254"/>
      <c r="F5" s="254"/>
      <c r="G5" s="254"/>
      <c r="H5" s="254"/>
      <c r="I5" s="254"/>
      <c r="J5" s="254"/>
      <c r="K5" s="254"/>
      <c r="L5" s="254"/>
      <c r="M5" s="254"/>
      <c r="N5" s="254"/>
      <c r="O5" s="108"/>
    </row>
    <row r="6" spans="1:15" ht="8.25" customHeight="1" x14ac:dyDescent="0.3">
      <c r="A6" s="107"/>
      <c r="B6" s="254"/>
      <c r="C6" s="254"/>
      <c r="D6" s="254"/>
      <c r="E6" s="254"/>
      <c r="F6" s="254"/>
      <c r="G6" s="254"/>
      <c r="H6" s="254"/>
      <c r="I6" s="254"/>
      <c r="J6" s="254"/>
      <c r="K6" s="254"/>
      <c r="L6" s="254"/>
      <c r="M6" s="254"/>
      <c r="N6" s="254"/>
      <c r="O6" s="108"/>
    </row>
    <row r="7" spans="1:15" ht="10.5" customHeight="1" x14ac:dyDescent="0.3">
      <c r="A7" s="107"/>
      <c r="B7" s="108"/>
      <c r="C7" s="108"/>
      <c r="D7" s="108"/>
      <c r="E7" s="108"/>
      <c r="F7" s="108"/>
      <c r="G7" s="108"/>
      <c r="H7" s="108"/>
      <c r="I7" s="108"/>
      <c r="J7" s="108"/>
      <c r="K7" s="108"/>
      <c r="L7" s="108"/>
      <c r="M7" s="108"/>
      <c r="N7" s="108"/>
      <c r="O7" s="107"/>
    </row>
    <row r="8" spans="1:15" ht="15" thickBot="1" x14ac:dyDescent="0.35">
      <c r="A8" s="107"/>
      <c r="B8" s="110"/>
      <c r="C8" s="110"/>
      <c r="D8" s="110"/>
      <c r="E8" s="110"/>
      <c r="F8" s="110"/>
      <c r="G8" s="110"/>
      <c r="H8" s="110"/>
      <c r="I8" s="110"/>
      <c r="J8" s="110"/>
      <c r="K8" s="110"/>
      <c r="L8" s="110"/>
      <c r="M8" s="110"/>
      <c r="N8" s="110"/>
      <c r="O8" s="108"/>
    </row>
    <row r="9" spans="1:15" ht="15" thickBot="1" x14ac:dyDescent="0.35">
      <c r="A9" s="107"/>
      <c r="B9" s="110"/>
      <c r="C9" s="259" t="s">
        <v>57</v>
      </c>
      <c r="D9" s="260"/>
      <c r="E9" s="260"/>
      <c r="F9" s="260"/>
      <c r="G9" s="260"/>
      <c r="H9" s="260"/>
      <c r="I9" s="260"/>
      <c r="J9" s="261"/>
      <c r="K9" s="110"/>
      <c r="L9" s="255" t="s">
        <v>81</v>
      </c>
      <c r="M9" s="256"/>
      <c r="N9" s="110"/>
      <c r="O9" s="108"/>
    </row>
    <row r="10" spans="1:15" ht="15" customHeight="1" thickBot="1" x14ac:dyDescent="0.35">
      <c r="A10" s="107"/>
      <c r="B10" s="110"/>
      <c r="C10" s="264" t="s">
        <v>91</v>
      </c>
      <c r="D10" s="265"/>
      <c r="E10" s="266"/>
      <c r="F10" s="273" t="str">
        <f>IF('TM-21 Inputs'!H9="","",'TM-21 Inputs'!H9)</f>
        <v/>
      </c>
      <c r="G10" s="274"/>
      <c r="H10" s="274"/>
      <c r="I10" s="274"/>
      <c r="J10" s="275"/>
      <c r="K10" s="110"/>
      <c r="L10" s="257" t="s">
        <v>85</v>
      </c>
      <c r="M10" s="258"/>
      <c r="N10" s="110"/>
      <c r="O10" s="108"/>
    </row>
    <row r="11" spans="1:15" ht="16.2" x14ac:dyDescent="0.3">
      <c r="A11" s="107"/>
      <c r="B11" s="110"/>
      <c r="C11" s="267"/>
      <c r="D11" s="268"/>
      <c r="E11" s="269"/>
      <c r="F11" s="276"/>
      <c r="G11" s="277"/>
      <c r="H11" s="277"/>
      <c r="I11" s="277"/>
      <c r="J11" s="278"/>
      <c r="K11" s="110"/>
      <c r="L11" s="142" t="s">
        <v>67</v>
      </c>
      <c r="M11" s="150" t="str">
        <f>IF('TM-21 Projection'!L2="","-",'TM-21 Projection'!L2)</f>
        <v>-</v>
      </c>
      <c r="N11" s="110"/>
      <c r="O11" s="108"/>
    </row>
    <row r="12" spans="1:15" ht="28.5" customHeight="1" thickBot="1" x14ac:dyDescent="0.35">
      <c r="A12" s="107"/>
      <c r="B12" s="110"/>
      <c r="C12" s="270"/>
      <c r="D12" s="271"/>
      <c r="E12" s="272"/>
      <c r="F12" s="279"/>
      <c r="G12" s="280"/>
      <c r="H12" s="280"/>
      <c r="I12" s="280"/>
      <c r="J12" s="281"/>
      <c r="K12" s="110"/>
      <c r="L12" s="143" t="s">
        <v>68</v>
      </c>
      <c r="M12" s="151" t="str">
        <f>IF(OR('TM-21 Projection'!L3="",'TM-21 Projection'!L3="In situ case temp too high"),"-",'TM-21 Projection'!L3)</f>
        <v>-</v>
      </c>
      <c r="N12" s="110"/>
      <c r="O12" s="108"/>
    </row>
    <row r="13" spans="1:15" ht="16.8" thickBot="1" x14ac:dyDescent="0.35">
      <c r="A13" s="107"/>
      <c r="B13" s="110"/>
      <c r="C13" s="262" t="str">
        <f>IF('TM-21 Inputs'!I21="","",CONCATENATE("Test Condition 1 - ",'TM-21 Inputs'!I21,"⁰C Case Temp"))</f>
        <v/>
      </c>
      <c r="D13" s="263"/>
      <c r="E13" s="111"/>
      <c r="F13" s="262" t="str">
        <f>IF('TM-21 Inputs'!I22="","",CONCATENATE("Test Condition 2 - ",'TM-21 Inputs'!I22,"⁰C Case Temp"))</f>
        <v/>
      </c>
      <c r="G13" s="263"/>
      <c r="H13" s="111"/>
      <c r="I13" s="262" t="str">
        <f>IF('TM-21 Inputs'!I23="","",CONCATENATE("Test Condition 3 - ",'TM-21 Inputs'!I23,"⁰C Case Temp"))</f>
        <v/>
      </c>
      <c r="J13" s="263"/>
      <c r="K13" s="110"/>
      <c r="L13" s="144" t="s">
        <v>69</v>
      </c>
      <c r="M13" s="152" t="str">
        <f>IF('TM-21 Projection'!L4="","-",'TM-21 Projection'!L4)</f>
        <v>-</v>
      </c>
      <c r="N13" s="110"/>
      <c r="O13" s="108"/>
    </row>
    <row r="14" spans="1:15" s="116" customFormat="1" ht="16.2" x14ac:dyDescent="0.3">
      <c r="A14" s="107"/>
      <c r="B14" s="112"/>
      <c r="C14" s="129" t="s">
        <v>64</v>
      </c>
      <c r="D14" s="133" t="str">
        <f>IF(OR('TM-21 Inputs'!$I$16="",C13=""),"-",'TM-21 Inputs'!$I$16)</f>
        <v>-</v>
      </c>
      <c r="E14" s="113"/>
      <c r="F14" s="129" t="str">
        <f>C14</f>
        <v>Sample size</v>
      </c>
      <c r="G14" s="133" t="str">
        <f>IF(OR('TM-21 Inputs'!$I$16="",F13=""),"-",'TM-21 Inputs'!$I$16)</f>
        <v>-</v>
      </c>
      <c r="H14" s="113"/>
      <c r="I14" s="129" t="str">
        <f>C14</f>
        <v>Sample size</v>
      </c>
      <c r="J14" s="133" t="str">
        <f>IF(OR('TM-21 Inputs'!$I$16="",I13=""),"-",'TM-21 Inputs'!$I$16)</f>
        <v>-</v>
      </c>
      <c r="K14" s="112"/>
      <c r="L14" s="145" t="s">
        <v>70</v>
      </c>
      <c r="M14" s="153" t="str">
        <f>IF('TM-21 Projection'!L5="","-",'TM-21 Projection'!L5)</f>
        <v>-</v>
      </c>
      <c r="N14" s="112"/>
      <c r="O14" s="108"/>
    </row>
    <row r="15" spans="1:15" s="116" customFormat="1" ht="16.2" x14ac:dyDescent="0.3">
      <c r="A15" s="107"/>
      <c r="B15" s="112"/>
      <c r="C15" s="129" t="s">
        <v>63</v>
      </c>
      <c r="D15" s="133" t="str">
        <f>IF(OR('TM-21 Inputs'!$I$17="",C13=""),"-",'TM-21 Inputs'!$I$17)</f>
        <v>-</v>
      </c>
      <c r="E15" s="113"/>
      <c r="F15" s="129" t="str">
        <f t="shared" ref="F15:F21" si="0">C15</f>
        <v>Number of failures</v>
      </c>
      <c r="G15" s="133" t="str">
        <f>IF(OR('TM-21 Inputs'!$I$17="",F13=""),"-",'TM-21 Inputs'!$I$17)</f>
        <v>-</v>
      </c>
      <c r="H15" s="113"/>
      <c r="I15" s="129" t="str">
        <f t="shared" ref="I15:I21" si="1">C15</f>
        <v>Number of failures</v>
      </c>
      <c r="J15" s="133" t="str">
        <f>IF(OR('TM-21 Inputs'!$I$17="",I13=""),"-",'TM-21 Inputs'!$I$17)</f>
        <v>-</v>
      </c>
      <c r="K15" s="112"/>
      <c r="L15" s="146" t="s">
        <v>71</v>
      </c>
      <c r="M15" s="154" t="str">
        <f>IF('TM-21 Projection'!L6="","-",'TM-21 Projection'!L6)</f>
        <v>-</v>
      </c>
      <c r="N15" s="112"/>
      <c r="O15" s="108"/>
    </row>
    <row r="16" spans="1:15" s="116" customFormat="1" ht="27.6" x14ac:dyDescent="0.3">
      <c r="A16" s="107"/>
      <c r="B16" s="112"/>
      <c r="C16" s="129" t="s">
        <v>62</v>
      </c>
      <c r="D16" s="133" t="str">
        <f>IF(OR('TM-21 Inputs'!$I$20="",C13=""),"-",'TM-21 Inputs'!$I$20)</f>
        <v>-</v>
      </c>
      <c r="E16" s="113"/>
      <c r="F16" s="129" t="str">
        <f t="shared" si="0"/>
        <v>DUT drive current used in the test (mA)</v>
      </c>
      <c r="G16" s="133" t="str">
        <f>IF(OR('TM-21 Inputs'!$I$20="",F13=""),"-",'TM-21 Inputs'!$I$20)</f>
        <v>-</v>
      </c>
      <c r="H16" s="113"/>
      <c r="I16" s="129" t="str">
        <f t="shared" si="1"/>
        <v>DUT drive current used in the test (mA)</v>
      </c>
      <c r="J16" s="133" t="str">
        <f>IF(OR('TM-21 Inputs'!$I$20="",I13=""),"-",'TM-21 Inputs'!$I$20)</f>
        <v>-</v>
      </c>
      <c r="K16" s="112"/>
      <c r="L16" s="143" t="s">
        <v>72</v>
      </c>
      <c r="M16" s="155" t="str">
        <f>IF(OR('TM-21 Projection'!L7="",'TM-21 Projection'!L7="N/A"),"-",'TM-21 Projection'!L7)</f>
        <v>-</v>
      </c>
      <c r="N16" s="112"/>
      <c r="O16" s="108"/>
    </row>
    <row r="17" spans="1:15" s="116" customFormat="1" ht="16.2" x14ac:dyDescent="0.3">
      <c r="A17" s="107"/>
      <c r="B17" s="112"/>
      <c r="C17" s="129" t="s">
        <v>65</v>
      </c>
      <c r="D17" s="134" t="str">
        <f>IF(OR('TM-21 Inputs'!I19="",C13=""),"-",'TM-21 Inputs'!I19)</f>
        <v>-</v>
      </c>
      <c r="E17" s="113"/>
      <c r="F17" s="129" t="str">
        <f t="shared" si="0"/>
        <v>Test duration (hours)</v>
      </c>
      <c r="G17" s="140" t="str">
        <f>IF(OR('TM-21 Inputs'!I19="",F13=""),"-",'TM-21 Inputs'!I19)</f>
        <v>-</v>
      </c>
      <c r="H17" s="113"/>
      <c r="I17" s="129" t="str">
        <f t="shared" si="1"/>
        <v>Test duration (hours)</v>
      </c>
      <c r="J17" s="140" t="str">
        <f>IF(OR('TM-21 Inputs'!I19="",I13=""),"-",'TM-21 Inputs'!I19)</f>
        <v>-</v>
      </c>
      <c r="K17" s="112"/>
      <c r="L17" s="144" t="s">
        <v>73</v>
      </c>
      <c r="M17" s="152" t="str">
        <f>IF(OR('TM-21 Projection'!L8="",'TM-21 Projection'!L8="N/A"),"-",'TM-21 Projection'!L8)</f>
        <v>-</v>
      </c>
      <c r="N17" s="112"/>
      <c r="O17" s="108"/>
    </row>
    <row r="18" spans="1:15" s="116" customFormat="1" ht="36" customHeight="1" x14ac:dyDescent="0.3">
      <c r="A18" s="107"/>
      <c r="B18" s="114"/>
      <c r="C18" s="130" t="s">
        <v>66</v>
      </c>
      <c r="D18" s="135" t="str">
        <f>IF(OR('TM-21 Inputs'!I19="",C13=""),"-",IF(SUM('Calculations - Case Temp 1'!E6:E49)=0,"-",CONCATENATE(TEXT(MIN('Calculations - Case Temp 1'!E6:E49),"#,##0")," - ",TEXT(MAX('Calculations - Case Temp 1'!E6:E49),"#,##0"))))</f>
        <v>-</v>
      </c>
      <c r="E18" s="115"/>
      <c r="F18" s="130" t="str">
        <f t="shared" si="0"/>
        <v>Test duration used for projection (hour to hour)</v>
      </c>
      <c r="G18" s="141" t="str">
        <f>IF(OR('TM-21 Inputs'!I19="",F13=""),"-",IF(SUM('Calculations - Case Temp 1'!E6:E49)=0,"-",CONCATENATE(TEXT(MIN('Calculations - Case Temp 1'!E6:E49),"#,##0")," - ",TEXT(MAX('Calculations - Case Temp 1'!E6:E49),"#,##0"))))</f>
        <v>-</v>
      </c>
      <c r="H18" s="115"/>
      <c r="I18" s="130" t="str">
        <f t="shared" si="1"/>
        <v>Test duration used for projection (hour to hour)</v>
      </c>
      <c r="J18" s="141" t="str">
        <f>IF(OR('TM-21 Inputs'!I19="",I13=""),"-",IF(SUM('Calculations - Case Temp 1'!E6:E49)=0,"-",CONCATENATE(TEXT(MIN('Calculations - Case Temp 1'!E6:E49),"#,##0")," - ",TEXT(MAX('Calculations - Case Temp 1'!E6:E49),"#,##0"))))</f>
        <v>-</v>
      </c>
      <c r="K18" s="112"/>
      <c r="L18" s="147" t="s">
        <v>74</v>
      </c>
      <c r="M18" s="156" t="str">
        <f>IF(OR('TM-21 Projection'!L9="",'TM-21 Projection'!L9="N/A"),"-",'TM-21 Projection'!L9)</f>
        <v>-</v>
      </c>
      <c r="N18" s="112"/>
      <c r="O18" s="108"/>
    </row>
    <row r="19" spans="1:15" s="116" customFormat="1" ht="27.6" x14ac:dyDescent="0.3">
      <c r="A19" s="107"/>
      <c r="B19" s="112"/>
      <c r="C19" s="129" t="s">
        <v>59</v>
      </c>
      <c r="D19" s="136" t="str">
        <f>IF('Product Inputs'!G6="","-",'Product Inputs'!G6)</f>
        <v>-</v>
      </c>
      <c r="E19" s="113"/>
      <c r="F19" s="129" t="str">
        <f t="shared" si="0"/>
        <v>Tested case temperature (⁰C)</v>
      </c>
      <c r="G19" s="136" t="str">
        <f>IF('Product Inputs'!J6="","-",'Product Inputs'!J6)</f>
        <v>-</v>
      </c>
      <c r="H19" s="113"/>
      <c r="I19" s="129" t="str">
        <f t="shared" si="1"/>
        <v>Tested case temperature (⁰C)</v>
      </c>
      <c r="J19" s="136" t="str">
        <f>IF('Product Inputs'!M6="","-",'Product Inputs'!M6)</f>
        <v>-</v>
      </c>
      <c r="K19" s="112"/>
      <c r="L19" s="146" t="s">
        <v>75</v>
      </c>
      <c r="M19" s="157" t="str">
        <f>IF(OR(M13&lt;0,M17&lt;0),"-",IF('TM-21 Projection'!L10="","-",'TM-21 Projection'!L10))</f>
        <v>-</v>
      </c>
      <c r="N19" s="112"/>
      <c r="O19" s="108"/>
    </row>
    <row r="20" spans="1:15" s="116" customFormat="1" x14ac:dyDescent="0.3">
      <c r="A20" s="107"/>
      <c r="B20" s="112"/>
      <c r="C20" s="129" t="s">
        <v>60</v>
      </c>
      <c r="D20" s="137" t="str">
        <f>IF('Product Inputs'!G8="","-",'Product Inputs'!G8)</f>
        <v>-</v>
      </c>
      <c r="E20" s="113"/>
      <c r="F20" s="129" t="str">
        <f t="shared" si="0"/>
        <v>α</v>
      </c>
      <c r="G20" s="137" t="str">
        <f>IF('Product Inputs'!J8="","-",'Product Inputs'!J8)</f>
        <v>-</v>
      </c>
      <c r="H20" s="113"/>
      <c r="I20" s="129" t="str">
        <f t="shared" si="1"/>
        <v>α</v>
      </c>
      <c r="J20" s="137" t="str">
        <f>IF('Product Inputs'!M8="","-",'Product Inputs'!M8)</f>
        <v>-</v>
      </c>
      <c r="K20" s="112"/>
      <c r="L20" s="143" t="s">
        <v>2</v>
      </c>
      <c r="M20" s="152" t="str">
        <f>IF(OR(M13&lt;0,M17&lt;0),"-",IF('TM-21 Projection'!L11="","-",'TM-21 Projection'!L11))</f>
        <v>-</v>
      </c>
      <c r="N20" s="112"/>
      <c r="O20" s="108"/>
    </row>
    <row r="21" spans="1:15" s="116" customFormat="1" ht="16.2" x14ac:dyDescent="0.3">
      <c r="A21" s="107"/>
      <c r="B21" s="112"/>
      <c r="C21" s="131" t="s">
        <v>61</v>
      </c>
      <c r="D21" s="138" t="str">
        <f>IF('Product Inputs'!G9="","-",'Product Inputs'!G9)</f>
        <v>-</v>
      </c>
      <c r="E21" s="113"/>
      <c r="F21" s="131" t="str">
        <f t="shared" si="0"/>
        <v>B</v>
      </c>
      <c r="G21" s="138" t="str">
        <f>IF('Product Inputs'!J9="","-",'Product Inputs'!J9)</f>
        <v>-</v>
      </c>
      <c r="H21" s="113"/>
      <c r="I21" s="131" t="str">
        <f t="shared" si="1"/>
        <v>B</v>
      </c>
      <c r="J21" s="138" t="str">
        <f>IF('Product Inputs'!M9="","-",'Product Inputs'!M9)</f>
        <v>-</v>
      </c>
      <c r="K21" s="112"/>
      <c r="L21" s="147" t="s">
        <v>76</v>
      </c>
      <c r="M21" s="156" t="str">
        <f>IF('TM-21 Projection'!L12="","-",'TM-21 Projection'!L12)</f>
        <v>-</v>
      </c>
      <c r="N21" s="112"/>
      <c r="O21" s="108"/>
    </row>
    <row r="22" spans="1:15" s="116" customFormat="1" ht="28.2" thickBot="1" x14ac:dyDescent="0.35">
      <c r="A22" s="107"/>
      <c r="B22" s="112"/>
      <c r="C22" s="132" t="str">
        <f>IF('TM-21 Inputs'!I35 = "", CONCATENATE("Reported LM",  IF('TM-21 Inputs'!I19="","(Dk) (hours)",CONCATENATE("(",ROUND('TM-21 Inputs'!I19/1000,0),"k) (hours)"))),CONCATENATE("Reported L",'TM-21 Inputs'!I35, IF('TM-21 Inputs'!I19="","(Dk) (hours)",CONCATENATE("(",ROUND('TM-21 Inputs'!I19/1000,0),"k) (hours)"))))</f>
        <v>Reported LM(Dk) (hours)</v>
      </c>
      <c r="D22" s="139" t="str">
        <f>IF('Product Inputs'!G11="","-",'Product Inputs'!G11)</f>
        <v>-</v>
      </c>
      <c r="E22" s="113"/>
      <c r="F22" s="132" t="str">
        <f>IF('TM-21 Inputs'!I35 = "", CONCATENATE("Reported LM",  IF('TM-21 Inputs'!I19="","(Dk) (hours)",CONCATENATE("(",ROUND('TM-21 Inputs'!I19/1000,0),"k) (hours)"))),CONCATENATE("Reported L",'TM-21 Inputs'!I35, IF('TM-21 Inputs'!I19="","(Dk) (hours)",CONCATENATE("(",ROUND('TM-21 Inputs'!I19/1000,0),"k) (hours)"))))</f>
        <v>Reported LM(Dk) (hours)</v>
      </c>
      <c r="G22" s="139" t="str">
        <f>IF('Product Inputs'!J11="","-",'Product Inputs'!J11)</f>
        <v>-</v>
      </c>
      <c r="H22" s="113"/>
      <c r="I22" s="132" t="str">
        <f>IF('TM-21 Inputs'!I35 = "", CONCATENATE("Reported LM",  IF('TM-21 Inputs'!I19="","(Dk) (hours)",CONCATENATE("(",ROUND('TM-21 Inputs'!I19/1000,0),"k) (hours)"))),CONCATENATE("Reported L",'TM-21 Inputs'!I35, IF('TM-21 Inputs'!I19="","(Dk) (hours)",CONCATENATE("(",ROUND('TM-21 Inputs'!I19/1000,0),"k) (hours)"))))</f>
        <v>Reported LM(Dk) (hours)</v>
      </c>
      <c r="J22" s="139" t="str">
        <f>IF('Product Inputs'!M11="","-",'Product Inputs'!M11)</f>
        <v>-</v>
      </c>
      <c r="K22" s="112"/>
      <c r="L22" s="142" t="s">
        <v>77</v>
      </c>
      <c r="M22" s="150" t="str">
        <f>IF('TM-21 Projection'!L13="","-",'TM-21 Projection'!L13)</f>
        <v>-</v>
      </c>
      <c r="N22" s="112"/>
      <c r="O22" s="108"/>
    </row>
    <row r="23" spans="1:15" s="116" customFormat="1" ht="16.2" x14ac:dyDescent="0.3">
      <c r="A23" s="107"/>
      <c r="B23" s="112"/>
      <c r="C23" s="205"/>
      <c r="D23" s="205"/>
      <c r="E23" s="205"/>
      <c r="F23" s="205"/>
      <c r="G23" s="205"/>
      <c r="H23" s="205"/>
      <c r="I23" s="205"/>
      <c r="J23" s="205"/>
      <c r="K23" s="112"/>
      <c r="L23" s="143" t="s">
        <v>78</v>
      </c>
      <c r="M23" s="158" t="str">
        <f>IF('TM-21 Projection'!L14="","-",'TM-21 Projection'!L14)</f>
        <v>-</v>
      </c>
      <c r="N23" s="112"/>
      <c r="O23" s="108"/>
    </row>
    <row r="24" spans="1:15" s="116" customFormat="1" ht="16.2" x14ac:dyDescent="0.3">
      <c r="A24" s="107"/>
      <c r="B24" s="112"/>
      <c r="C24" s="203"/>
      <c r="D24" s="203"/>
      <c r="E24" s="113"/>
      <c r="F24" s="203"/>
      <c r="G24" s="204"/>
      <c r="H24" s="113"/>
      <c r="I24" s="203"/>
      <c r="J24" s="204"/>
      <c r="K24" s="112"/>
      <c r="L24" s="148" t="s">
        <v>79</v>
      </c>
      <c r="M24" s="159" t="str">
        <f>IF(OR(M13&lt;0,M17&lt;0),"-",IF('TM-21 Projection'!L15="","-",'TM-21 Projection'!L15))</f>
        <v>-</v>
      </c>
      <c r="N24" s="112"/>
      <c r="O24" s="108"/>
    </row>
    <row r="25" spans="1:15" s="116" customFormat="1" ht="28.5" customHeight="1" thickBot="1" x14ac:dyDescent="0.35">
      <c r="A25" s="107"/>
      <c r="B25" s="112"/>
      <c r="C25" s="282" t="str">
        <f>IF(OR(M13&lt;0,M17&lt;0),"One or more of the tests resulted in negative L70 values. Please refer to sections 5.2.5 and 6.4 of IES TM-21-11 for instructions on how to estimate the reported lumen maintenance life (L70).","")</f>
        <v/>
      </c>
      <c r="D25" s="282"/>
      <c r="E25" s="282"/>
      <c r="F25" s="282"/>
      <c r="G25" s="282"/>
      <c r="H25" s="282"/>
      <c r="I25" s="282"/>
      <c r="J25" s="282"/>
      <c r="K25" s="112"/>
      <c r="L25" s="149" t="str">
        <f>IF('TM-21 Inputs'!I34="",IF('TM-21 Inputs'!I35 = "", CONCATENATE("Reported LM",  IF('TM-21 Inputs'!I19="","(Dk) (hours)",CONCATENATE("(",ROUND('TM-21 Inputs'!I19/1000,0),"k) (hours)"))),CONCATENATE("Reported L",'TM-21 Inputs'!I35, IF('TM-21 Inputs'!I19="","(Dk) (hours)",CONCATENATE("(",ROUND('TM-21 Inputs'!I19/1000,0),"k) (hours)")))), IF('TM-21 Inputs'!I35 = "", CONCATENATE("Reported LM",  IF('TM-21 Inputs'!I19="",  CONCATENATE( "(Dk) at ",   'TM-21 Inputs'!I34,"⁰C (hours)"  ),CONCATENATE("(",ROUND('TM-21 Inputs'!I19/1000,0),"k) at ", 'TM-21 Inputs'!I34,"⁰C (hours)")) ),CONCATENATE("Reported L",'TM-21 Inputs'!I35, IF('TM-21 Inputs'!I19="",CONCATENATE( "(Dk) at ",   'TM-21 Inputs'!I34,"⁰C (hours)"  ),CONCATENATE("(",ROUND('TM-21 Inputs'!I19/1000,0),"k) at ", 'TM-21 Inputs'!I34,"⁰C (hours)") )   )))</f>
        <v>Reported LM(Dk) (hours)</v>
      </c>
      <c r="M25" s="160" t="str">
        <f>IF('TM-21 Inputs'!I42="","-",'TM-21 Inputs'!I42)</f>
        <v>-</v>
      </c>
      <c r="N25" s="112"/>
      <c r="O25" s="108"/>
    </row>
    <row r="26" spans="1:15" ht="30.75" customHeight="1" x14ac:dyDescent="0.3">
      <c r="A26" s="107"/>
      <c r="B26" s="110"/>
      <c r="C26" s="110"/>
      <c r="D26" s="110"/>
      <c r="E26" s="110"/>
      <c r="F26" s="110"/>
      <c r="G26" s="110"/>
      <c r="H26" s="110"/>
      <c r="I26" s="110"/>
      <c r="J26" s="110"/>
      <c r="K26" s="110"/>
      <c r="N26" s="110"/>
      <c r="O26" s="108"/>
    </row>
    <row r="27" spans="1:15" ht="9" customHeight="1" x14ac:dyDescent="0.3">
      <c r="A27" s="107"/>
      <c r="B27" s="110"/>
      <c r="C27" s="110"/>
      <c r="D27" s="110"/>
      <c r="E27" s="110"/>
      <c r="F27" s="110"/>
      <c r="G27" s="110"/>
      <c r="H27" s="110"/>
      <c r="I27" s="110"/>
      <c r="J27" s="110"/>
      <c r="K27" s="110"/>
      <c r="L27" s="110"/>
      <c r="M27" s="110"/>
      <c r="N27" s="110"/>
      <c r="O27" s="108"/>
    </row>
    <row r="28" spans="1:15" ht="11.25" customHeight="1" x14ac:dyDescent="0.3">
      <c r="A28" s="107"/>
      <c r="B28" s="107"/>
      <c r="C28" s="107"/>
      <c r="D28" s="107"/>
      <c r="E28" s="107"/>
      <c r="F28" s="107"/>
      <c r="G28" s="107"/>
      <c r="H28" s="107"/>
      <c r="I28" s="107"/>
      <c r="J28" s="107"/>
      <c r="K28" s="107"/>
      <c r="L28" s="107"/>
      <c r="M28" s="107"/>
      <c r="N28" s="107"/>
      <c r="O28" s="107"/>
    </row>
    <row r="29" spans="1:15" ht="15" thickBot="1" x14ac:dyDescent="0.35">
      <c r="C29" s="118"/>
    </row>
    <row r="30" spans="1:15" ht="30.75" customHeight="1" thickBot="1" x14ac:dyDescent="0.35">
      <c r="D30" s="117"/>
      <c r="F30" s="283" t="s">
        <v>86</v>
      </c>
      <c r="G30" s="284"/>
      <c r="H30" s="285"/>
      <c r="I30" s="286"/>
      <c r="J30" s="245" t="s">
        <v>97</v>
      </c>
      <c r="K30" s="246"/>
      <c r="L30" s="246"/>
      <c r="M30" s="247"/>
    </row>
    <row r="31" spans="1:15" ht="31.5" customHeight="1" thickBot="1" x14ac:dyDescent="0.35">
      <c r="F31" s="283" t="s">
        <v>87</v>
      </c>
      <c r="G31" s="284"/>
      <c r="H31" s="285"/>
      <c r="I31" s="286"/>
      <c r="J31" s="248"/>
      <c r="K31" s="249"/>
      <c r="L31" s="249"/>
      <c r="M31" s="250"/>
    </row>
    <row r="32" spans="1:15" ht="15" thickBot="1" x14ac:dyDescent="0.35">
      <c r="F32" s="287" t="s">
        <v>88</v>
      </c>
      <c r="G32" s="288"/>
      <c r="H32" s="285"/>
      <c r="I32" s="286"/>
      <c r="J32" s="251"/>
      <c r="K32" s="252"/>
      <c r="L32" s="252"/>
      <c r="M32" s="253"/>
    </row>
  </sheetData>
  <sheetProtection algorithmName="SHA-512" hashValue="4lmTZeqw01gUF1hzUrlHuUjTJeDVR/EYvV8Ss/nbhgrC5f8RQ8s1gj0b27UncyEoD8UtQJNPGNbFJSDXUpvqGg==" saltValue="I3ueg7gs7B9FKjwwnVn8xQ==" spinCount="100000" sheet="1" objects="1" scenarios="1"/>
  <mergeCells count="14">
    <mergeCell ref="J30:M32"/>
    <mergeCell ref="B2:N6"/>
    <mergeCell ref="L9:M9"/>
    <mergeCell ref="L10:M10"/>
    <mergeCell ref="C9:J9"/>
    <mergeCell ref="C13:D13"/>
    <mergeCell ref="F13:G13"/>
    <mergeCell ref="I13:J13"/>
    <mergeCell ref="C10:E12"/>
    <mergeCell ref="F10:J12"/>
    <mergeCell ref="C25:J25"/>
    <mergeCell ref="F30:I30"/>
    <mergeCell ref="F31:I31"/>
    <mergeCell ref="F32:I32"/>
  </mergeCells>
  <pageMargins left="0.7" right="0.7" top="0.75" bottom="0.75" header="0.3" footer="0.3"/>
  <pageSetup scale="65" orientation="landscape"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C000"/>
  </sheetPr>
  <dimension ref="A1"/>
  <sheetViews>
    <sheetView workbookViewId="0">
      <selection activeCell="M34" sqref="M34"/>
    </sheetView>
  </sheetViews>
  <sheetFormatPr defaultRowHeight="14.4" x14ac:dyDescent="0.3"/>
  <sheetData/>
  <sheetProtection password="C696" sheet="1" objects="1" scenarios="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C000"/>
  </sheetPr>
  <dimension ref="C3:M60"/>
  <sheetViews>
    <sheetView zoomScale="70" zoomScaleNormal="70" workbookViewId="0">
      <selection activeCell="N45" sqref="N45"/>
    </sheetView>
  </sheetViews>
  <sheetFormatPr defaultColWidth="9.109375" defaultRowHeight="14.4" x14ac:dyDescent="0.3"/>
  <cols>
    <col min="1" max="1" width="17" style="1" customWidth="1"/>
    <col min="2" max="2" width="9.109375" style="1"/>
    <col min="3" max="3" width="8.6640625" style="1" customWidth="1"/>
    <col min="4" max="4" width="10.44140625" style="1" customWidth="1"/>
    <col min="5" max="5" width="12.88671875" style="1" bestFit="1" customWidth="1"/>
    <col min="6" max="6" width="17.88671875" style="1" customWidth="1"/>
    <col min="7" max="7" width="27.5546875" style="1" customWidth="1"/>
    <col min="8" max="8" width="12.5546875" style="1" bestFit="1" customWidth="1"/>
    <col min="9" max="9" width="17" style="1" customWidth="1"/>
    <col min="10" max="10" width="9.6640625" style="1" bestFit="1" customWidth="1"/>
    <col min="11" max="11" width="9.109375" style="1"/>
    <col min="12" max="12" width="20.5546875" style="1" bestFit="1" customWidth="1"/>
    <col min="13" max="16384" width="9.109375" style="1"/>
  </cols>
  <sheetData>
    <row r="3" spans="3:13" ht="15" thickBot="1" x14ac:dyDescent="0.35"/>
    <row r="4" spans="3:13" ht="15" customHeight="1" x14ac:dyDescent="0.3">
      <c r="C4" s="289" t="str">
        <f>IF('TM-21 Inputs'!I21="","Insert Case Temperature 1",CONCATENATE("Test Data for ",'TM-21 Inputs'!I21,"⁰C Case Temperature"))</f>
        <v>Insert Case Temperature 1</v>
      </c>
      <c r="D4" s="291"/>
      <c r="E4" s="291"/>
      <c r="F4" s="291"/>
      <c r="G4" s="291"/>
      <c r="H4" s="291"/>
      <c r="I4" s="291"/>
      <c r="J4" s="290"/>
    </row>
    <row r="5" spans="3:13" ht="60" customHeight="1" x14ac:dyDescent="0.3">
      <c r="C5" s="200" t="s">
        <v>100</v>
      </c>
      <c r="D5" s="29" t="s">
        <v>99</v>
      </c>
      <c r="E5" s="30" t="s">
        <v>3</v>
      </c>
      <c r="F5" s="31" t="s">
        <v>4</v>
      </c>
      <c r="G5" s="31" t="s">
        <v>7</v>
      </c>
      <c r="H5" s="31" t="s">
        <v>5</v>
      </c>
      <c r="I5" s="31" t="s">
        <v>6</v>
      </c>
      <c r="J5" s="32" t="s">
        <v>1</v>
      </c>
    </row>
    <row r="6" spans="3:13" x14ac:dyDescent="0.3">
      <c r="C6" s="198" t="str">
        <f>"-"</f>
        <v>-</v>
      </c>
      <c r="D6" s="198" t="str">
        <f>"-"</f>
        <v>-</v>
      </c>
      <c r="E6" s="8" t="str">
        <f>IF(OR('TM-21 Inputs'!$I$19="",'TM-21 Inputs'!$I$21=""),"-",IF(OR('TM-21 Inputs'!K10="",'TM-21 Inputs'!L10=""),"",IF(OR(AND('TM-21 Inputs'!$I$19&gt;=5952,'TM-21 Inputs'!$I$19&lt;=10000,'TM-21 Inputs'!K10&gt;='TM-21 Inputs'!$I$19-5096),AND('TM-21 Inputs'!$I$19&gt;10000,OR('TM-21 Inputs'!K10&gt;=0.5*'TM-21 Inputs'!$I$19,'TM-21 Inputs'!K10=SMALL('TM-21 Inputs'!$K$10:$K$49,COUNTIF('TM-21 Inputs'!$K$10:$K$49,"&lt;"&amp;(0.5*'TM-21 Inputs'!$I$19)+1))))),'TM-21 Inputs'!K10,"")))</f>
        <v>-</v>
      </c>
      <c r="F6" s="2">
        <f>IF(E6="","",'TM-21 Inputs'!L10)</f>
        <v>0</v>
      </c>
      <c r="G6" s="9" t="e">
        <f>IF(F6="","",LN(F6))</f>
        <v>#NUM!</v>
      </c>
      <c r="H6" s="12" t="e">
        <f>IF(E6="","",(G6*E6))</f>
        <v>#NUM!</v>
      </c>
      <c r="I6" s="15" t="e">
        <f>IF(E6="","",E6^2)</f>
        <v>#VALUE!</v>
      </c>
      <c r="J6" s="16" t="e">
        <f>IF(E6="","",E6*G6)</f>
        <v>#VALUE!</v>
      </c>
      <c r="M6" s="106"/>
    </row>
    <row r="7" spans="3:13" x14ac:dyDescent="0.3">
      <c r="C7" s="199" t="str">
        <f>"-"</f>
        <v>-</v>
      </c>
      <c r="D7" s="5" t="e">
        <f t="shared" ref="D7:D26" si="0">IF(OR(E6="",E7=""),"",E7-E6)</f>
        <v>#VALUE!</v>
      </c>
      <c r="E7" s="8" t="str">
        <f>IF(OR('TM-21 Inputs'!$I$19="",'TM-21 Inputs'!$I$21=""),"-",IF(OR('TM-21 Inputs'!K11="",'TM-21 Inputs'!L11=""),"",IF(OR(AND('TM-21 Inputs'!$I$19&gt;=5952,'TM-21 Inputs'!$I$19&lt;=10000,'TM-21 Inputs'!K11&gt;='TM-21 Inputs'!$I$19-5096),AND('TM-21 Inputs'!$I$19&gt;10000,OR('TM-21 Inputs'!K11&gt;=0.5*'TM-21 Inputs'!$I$19,'TM-21 Inputs'!K11=SMALL('TM-21 Inputs'!$K$10:$K$49,COUNTIF('TM-21 Inputs'!$K$10:$K$49,"&lt;"&amp;(0.5*'TM-21 Inputs'!$I$19)+1))))),'TM-21 Inputs'!K11,"")))</f>
        <v>-</v>
      </c>
      <c r="F7" s="3">
        <f>IF(E7="","",'TM-21 Inputs'!L11)</f>
        <v>0</v>
      </c>
      <c r="G7" s="10" t="e">
        <f t="shared" ref="G7:G26" si="1">IF(F7="","",LN(F7))</f>
        <v>#NUM!</v>
      </c>
      <c r="H7" s="13" t="e">
        <f t="shared" ref="H7:H26" si="2">IF(E7="","",(G7*E7))</f>
        <v>#NUM!</v>
      </c>
      <c r="I7" s="17" t="e">
        <f t="shared" ref="I7:I26" si="3">IF(E7="","",E7^2)</f>
        <v>#VALUE!</v>
      </c>
      <c r="J7" s="18" t="e">
        <f t="shared" ref="J7:J26" si="4">IF(E7="","",E7*G7)</f>
        <v>#VALUE!</v>
      </c>
    </row>
    <row r="8" spans="3:13" x14ac:dyDescent="0.3">
      <c r="C8" s="5" t="e">
        <f>IF(OR(D7="",D8=""),"",ABS(D8-D7))</f>
        <v>#VALUE!</v>
      </c>
      <c r="D8" s="5" t="e">
        <f t="shared" si="0"/>
        <v>#VALUE!</v>
      </c>
      <c r="E8" s="8" t="str">
        <f>IF(OR('TM-21 Inputs'!$I$19="",'TM-21 Inputs'!$I$21=""),"-",IF(OR('TM-21 Inputs'!K12="",'TM-21 Inputs'!L12=""),"",IF(OR(AND('TM-21 Inputs'!$I$19&gt;=5952,'TM-21 Inputs'!$I$19&lt;=10000,'TM-21 Inputs'!K12&gt;='TM-21 Inputs'!$I$19-5096),AND('TM-21 Inputs'!$I$19&gt;10000,OR('TM-21 Inputs'!K12&gt;=0.5*'TM-21 Inputs'!$I$19,'TM-21 Inputs'!K12=SMALL('TM-21 Inputs'!$K$10:$K$49,COUNTIF('TM-21 Inputs'!$K$10:$K$49,"&lt;"&amp;(0.5*'TM-21 Inputs'!$I$19)+1))))),'TM-21 Inputs'!K12,"")))</f>
        <v>-</v>
      </c>
      <c r="F8" s="3">
        <f>IF(E8="","",'TM-21 Inputs'!L12)</f>
        <v>0</v>
      </c>
      <c r="G8" s="10" t="e">
        <f t="shared" si="1"/>
        <v>#NUM!</v>
      </c>
      <c r="H8" s="13" t="e">
        <f t="shared" si="2"/>
        <v>#NUM!</v>
      </c>
      <c r="I8" s="17" t="e">
        <f t="shared" si="3"/>
        <v>#VALUE!</v>
      </c>
      <c r="J8" s="18" t="e">
        <f t="shared" si="4"/>
        <v>#VALUE!</v>
      </c>
    </row>
    <row r="9" spans="3:13" x14ac:dyDescent="0.3">
      <c r="C9" s="5" t="e">
        <f t="shared" ref="C9:C26" si="5">IF(OR(D8="",D9=""),"",ABS(D9-D8))</f>
        <v>#VALUE!</v>
      </c>
      <c r="D9" s="5" t="e">
        <f t="shared" si="0"/>
        <v>#VALUE!</v>
      </c>
      <c r="E9" s="8" t="str">
        <f>IF(OR('TM-21 Inputs'!$I$19="",'TM-21 Inputs'!$I$21=""),"-",IF(OR('TM-21 Inputs'!K13="",'TM-21 Inputs'!L13=""),"",IF(OR(AND('TM-21 Inputs'!$I$19&gt;=5952,'TM-21 Inputs'!$I$19&lt;=10000,'TM-21 Inputs'!K13&gt;='TM-21 Inputs'!$I$19-5096),AND('TM-21 Inputs'!$I$19&gt;10000,OR('TM-21 Inputs'!K13&gt;=0.5*'TM-21 Inputs'!$I$19,'TM-21 Inputs'!K13=SMALL('TM-21 Inputs'!$K$10:$K$49,COUNTIF('TM-21 Inputs'!$K$10:$K$49,"&lt;"&amp;(0.5*'TM-21 Inputs'!$I$19)+1))))),'TM-21 Inputs'!K13,"")))</f>
        <v>-</v>
      </c>
      <c r="F9" s="3">
        <f>IF(E9="","",'TM-21 Inputs'!L13)</f>
        <v>0</v>
      </c>
      <c r="G9" s="10" t="e">
        <f t="shared" si="1"/>
        <v>#NUM!</v>
      </c>
      <c r="H9" s="13" t="e">
        <f t="shared" si="2"/>
        <v>#NUM!</v>
      </c>
      <c r="I9" s="17" t="e">
        <f t="shared" si="3"/>
        <v>#VALUE!</v>
      </c>
      <c r="J9" s="18" t="e">
        <f t="shared" si="4"/>
        <v>#VALUE!</v>
      </c>
    </row>
    <row r="10" spans="3:13" x14ac:dyDescent="0.3">
      <c r="C10" s="5" t="e">
        <f t="shared" si="5"/>
        <v>#VALUE!</v>
      </c>
      <c r="D10" s="5" t="e">
        <f t="shared" si="0"/>
        <v>#VALUE!</v>
      </c>
      <c r="E10" s="8" t="str">
        <f>IF(OR('TM-21 Inputs'!$I$19="",'TM-21 Inputs'!$I$21=""),"-",IF(OR('TM-21 Inputs'!K14="",'TM-21 Inputs'!L14=""),"",IF(OR(AND('TM-21 Inputs'!$I$19&gt;=5952,'TM-21 Inputs'!$I$19&lt;=10000,'TM-21 Inputs'!K14&gt;='TM-21 Inputs'!$I$19-5096),AND('TM-21 Inputs'!$I$19&gt;10000,OR('TM-21 Inputs'!K14&gt;=0.5*'TM-21 Inputs'!$I$19,'TM-21 Inputs'!K14=SMALL('TM-21 Inputs'!$K$10:$K$49,COUNTIF('TM-21 Inputs'!$K$10:$K$49,"&lt;"&amp;(0.5*'TM-21 Inputs'!$I$19)+1))))),'TM-21 Inputs'!K14,"")))</f>
        <v>-</v>
      </c>
      <c r="F10" s="3">
        <f>IF(E10="","",'TM-21 Inputs'!L14)</f>
        <v>0</v>
      </c>
      <c r="G10" s="10" t="e">
        <f t="shared" si="1"/>
        <v>#NUM!</v>
      </c>
      <c r="H10" s="13" t="e">
        <f t="shared" si="2"/>
        <v>#NUM!</v>
      </c>
      <c r="I10" s="17" t="e">
        <f t="shared" si="3"/>
        <v>#VALUE!</v>
      </c>
      <c r="J10" s="18" t="e">
        <f t="shared" si="4"/>
        <v>#VALUE!</v>
      </c>
    </row>
    <row r="11" spans="3:13" x14ac:dyDescent="0.3">
      <c r="C11" s="5" t="e">
        <f t="shared" si="5"/>
        <v>#VALUE!</v>
      </c>
      <c r="D11" s="5" t="e">
        <f t="shared" si="0"/>
        <v>#VALUE!</v>
      </c>
      <c r="E11" s="8" t="str">
        <f>IF(OR('TM-21 Inputs'!$I$19="",'TM-21 Inputs'!$I$21=""),"-",IF(OR('TM-21 Inputs'!K15="",'TM-21 Inputs'!L15=""),"",IF(OR(AND('TM-21 Inputs'!$I$19&gt;=5952,'TM-21 Inputs'!$I$19&lt;=10000,'TM-21 Inputs'!K15&gt;='TM-21 Inputs'!$I$19-5096),AND('TM-21 Inputs'!$I$19&gt;10000,OR('TM-21 Inputs'!K15&gt;=0.5*'TM-21 Inputs'!$I$19,'TM-21 Inputs'!K15=SMALL('TM-21 Inputs'!$K$10:$K$49,COUNTIF('TM-21 Inputs'!$K$10:$K$49,"&lt;"&amp;(0.5*'TM-21 Inputs'!$I$19)+1))))),'TM-21 Inputs'!K15,"")))</f>
        <v>-</v>
      </c>
      <c r="F11" s="3">
        <f>IF(E11="","",'TM-21 Inputs'!L15)</f>
        <v>0</v>
      </c>
      <c r="G11" s="10" t="e">
        <f t="shared" si="1"/>
        <v>#NUM!</v>
      </c>
      <c r="H11" s="13" t="e">
        <f t="shared" si="2"/>
        <v>#NUM!</v>
      </c>
      <c r="I11" s="17" t="e">
        <f t="shared" si="3"/>
        <v>#VALUE!</v>
      </c>
      <c r="J11" s="18" t="e">
        <f t="shared" si="4"/>
        <v>#VALUE!</v>
      </c>
    </row>
    <row r="12" spans="3:13" x14ac:dyDescent="0.3">
      <c r="C12" s="5" t="e">
        <f t="shared" si="5"/>
        <v>#VALUE!</v>
      </c>
      <c r="D12" s="5" t="e">
        <f t="shared" si="0"/>
        <v>#VALUE!</v>
      </c>
      <c r="E12" s="8" t="str">
        <f>IF(OR('TM-21 Inputs'!$I$19="",'TM-21 Inputs'!$I$21=""),"-",IF(OR('TM-21 Inputs'!K16="",'TM-21 Inputs'!L16=""),"",IF(OR(AND('TM-21 Inputs'!$I$19&gt;=5952,'TM-21 Inputs'!$I$19&lt;=10000,'TM-21 Inputs'!K16&gt;='TM-21 Inputs'!$I$19-5096),AND('TM-21 Inputs'!$I$19&gt;10000,OR('TM-21 Inputs'!K16&gt;=0.5*'TM-21 Inputs'!$I$19,'TM-21 Inputs'!K16=SMALL('TM-21 Inputs'!$K$10:$K$49,COUNTIF('TM-21 Inputs'!$K$10:$K$49,"&lt;"&amp;(0.5*'TM-21 Inputs'!$I$19)+1))))),'TM-21 Inputs'!K16,"")))</f>
        <v>-</v>
      </c>
      <c r="F12" s="3">
        <f>IF(E12="","",'TM-21 Inputs'!L16)</f>
        <v>0</v>
      </c>
      <c r="G12" s="10" t="e">
        <f t="shared" si="1"/>
        <v>#NUM!</v>
      </c>
      <c r="H12" s="13" t="e">
        <f t="shared" si="2"/>
        <v>#NUM!</v>
      </c>
      <c r="I12" s="17" t="e">
        <f t="shared" si="3"/>
        <v>#VALUE!</v>
      </c>
      <c r="J12" s="18" t="e">
        <f t="shared" si="4"/>
        <v>#VALUE!</v>
      </c>
    </row>
    <row r="13" spans="3:13" x14ac:dyDescent="0.3">
      <c r="C13" s="5" t="e">
        <f t="shared" si="5"/>
        <v>#VALUE!</v>
      </c>
      <c r="D13" s="5" t="e">
        <f t="shared" si="0"/>
        <v>#VALUE!</v>
      </c>
      <c r="E13" s="8" t="str">
        <f>IF(OR('TM-21 Inputs'!$I$19="",'TM-21 Inputs'!$I$21=""),"-",IF(OR('TM-21 Inputs'!K17="",'TM-21 Inputs'!L17=""),"",IF(OR(AND('TM-21 Inputs'!$I$19&gt;=5952,'TM-21 Inputs'!$I$19&lt;=10000,'TM-21 Inputs'!K17&gt;='TM-21 Inputs'!$I$19-5096),AND('TM-21 Inputs'!$I$19&gt;10000,OR('TM-21 Inputs'!K17&gt;=0.5*'TM-21 Inputs'!$I$19,'TM-21 Inputs'!K17=SMALL('TM-21 Inputs'!$K$10:$K$49,COUNTIF('TM-21 Inputs'!$K$10:$K$49,"&lt;"&amp;(0.5*'TM-21 Inputs'!$I$19)+1))))),'TM-21 Inputs'!K17,"")))</f>
        <v>-</v>
      </c>
      <c r="F13" s="3">
        <f>IF(E13="","",'TM-21 Inputs'!L17)</f>
        <v>0</v>
      </c>
      <c r="G13" s="10" t="e">
        <f t="shared" si="1"/>
        <v>#NUM!</v>
      </c>
      <c r="H13" s="13" t="e">
        <f t="shared" si="2"/>
        <v>#NUM!</v>
      </c>
      <c r="I13" s="17" t="e">
        <f t="shared" si="3"/>
        <v>#VALUE!</v>
      </c>
      <c r="J13" s="18" t="e">
        <f t="shared" si="4"/>
        <v>#VALUE!</v>
      </c>
    </row>
    <row r="14" spans="3:13" x14ac:dyDescent="0.3">
      <c r="C14" s="5" t="e">
        <f t="shared" si="5"/>
        <v>#VALUE!</v>
      </c>
      <c r="D14" s="5" t="e">
        <f t="shared" si="0"/>
        <v>#VALUE!</v>
      </c>
      <c r="E14" s="8" t="str">
        <f>IF(OR('TM-21 Inputs'!$I$19="",'TM-21 Inputs'!$I$21=""),"-",IF(OR('TM-21 Inputs'!K18="",'TM-21 Inputs'!L18=""),"",IF(OR(AND('TM-21 Inputs'!$I$19&gt;=5952,'TM-21 Inputs'!$I$19&lt;=10000,'TM-21 Inputs'!K18&gt;='TM-21 Inputs'!$I$19-5096),AND('TM-21 Inputs'!$I$19&gt;10000,OR('TM-21 Inputs'!K18&gt;=0.5*'TM-21 Inputs'!$I$19,'TM-21 Inputs'!K18=SMALL('TM-21 Inputs'!$K$10:$K$49,COUNTIF('TM-21 Inputs'!$K$10:$K$49,"&lt;"&amp;(0.5*'TM-21 Inputs'!$I$19)+1))))),'TM-21 Inputs'!K18,"")))</f>
        <v>-</v>
      </c>
      <c r="F14" s="3">
        <f>IF(E14="","",'TM-21 Inputs'!L18)</f>
        <v>0</v>
      </c>
      <c r="G14" s="10" t="e">
        <f t="shared" si="1"/>
        <v>#NUM!</v>
      </c>
      <c r="H14" s="13" t="e">
        <f t="shared" si="2"/>
        <v>#NUM!</v>
      </c>
      <c r="I14" s="17" t="e">
        <f t="shared" si="3"/>
        <v>#VALUE!</v>
      </c>
      <c r="J14" s="18" t="e">
        <f t="shared" si="4"/>
        <v>#VALUE!</v>
      </c>
    </row>
    <row r="15" spans="3:13" x14ac:dyDescent="0.3">
      <c r="C15" s="5" t="e">
        <f t="shared" si="5"/>
        <v>#VALUE!</v>
      </c>
      <c r="D15" s="5" t="e">
        <f t="shared" si="0"/>
        <v>#VALUE!</v>
      </c>
      <c r="E15" s="8" t="str">
        <f>IF(OR('TM-21 Inputs'!$I$19="",'TM-21 Inputs'!$I$21=""),"-",IF(OR('TM-21 Inputs'!K19="",'TM-21 Inputs'!L19=""),"",IF(OR(AND('TM-21 Inputs'!$I$19&gt;=5952,'TM-21 Inputs'!$I$19&lt;=10000,'TM-21 Inputs'!K19&gt;='TM-21 Inputs'!$I$19-5096),AND('TM-21 Inputs'!$I$19&gt;10000,OR('TM-21 Inputs'!K19&gt;=0.5*'TM-21 Inputs'!$I$19,'TM-21 Inputs'!K19=SMALL('TM-21 Inputs'!$K$10:$K$49,COUNTIF('TM-21 Inputs'!$K$10:$K$49,"&lt;"&amp;(0.5*'TM-21 Inputs'!$I$19)+1))))),'TM-21 Inputs'!K19,"")))</f>
        <v>-</v>
      </c>
      <c r="F15" s="3">
        <f>IF(E15="","",'TM-21 Inputs'!L19)</f>
        <v>0</v>
      </c>
      <c r="G15" s="10" t="e">
        <f t="shared" si="1"/>
        <v>#NUM!</v>
      </c>
      <c r="H15" s="13" t="e">
        <f t="shared" si="2"/>
        <v>#NUM!</v>
      </c>
      <c r="I15" s="17" t="e">
        <f t="shared" si="3"/>
        <v>#VALUE!</v>
      </c>
      <c r="J15" s="18" t="e">
        <f t="shared" si="4"/>
        <v>#VALUE!</v>
      </c>
    </row>
    <row r="16" spans="3:13" x14ac:dyDescent="0.3">
      <c r="C16" s="5" t="e">
        <f>IF(OR(D15="",D16=""),"",ABS(D16-D15))</f>
        <v>#VALUE!</v>
      </c>
      <c r="D16" s="5" t="e">
        <f>IF(OR(E15="",E16=""),"",E16-E15)</f>
        <v>#VALUE!</v>
      </c>
      <c r="E16" s="8" t="str">
        <f>IF(OR('TM-21 Inputs'!$I$19="",'TM-21 Inputs'!$I$21=""),"-",IF(OR('TM-21 Inputs'!K20="",'TM-21 Inputs'!L20=""),"",IF(OR(AND('TM-21 Inputs'!$I$19&gt;=5952,'TM-21 Inputs'!$I$19&lt;=10000,'TM-21 Inputs'!K20&gt;='TM-21 Inputs'!$I$19-5096),AND('TM-21 Inputs'!$I$19&gt;10000,OR('TM-21 Inputs'!K20&gt;=0.5*'TM-21 Inputs'!$I$19,'TM-21 Inputs'!K20=SMALL('TM-21 Inputs'!$K$10:$K$49,COUNTIF('TM-21 Inputs'!$K$10:$K$49,"&lt;"&amp;(0.5*'TM-21 Inputs'!$I$19)+1))))),'TM-21 Inputs'!K20,"")))</f>
        <v>-</v>
      </c>
      <c r="F16" s="3">
        <f>IF(E16="","",'TM-21 Inputs'!L20)</f>
        <v>0</v>
      </c>
      <c r="G16" s="10" t="e">
        <f t="shared" si="1"/>
        <v>#NUM!</v>
      </c>
      <c r="H16" s="13" t="e">
        <f t="shared" si="2"/>
        <v>#NUM!</v>
      </c>
      <c r="I16" s="17" t="e">
        <f t="shared" si="3"/>
        <v>#VALUE!</v>
      </c>
      <c r="J16" s="18" t="e">
        <f t="shared" si="4"/>
        <v>#VALUE!</v>
      </c>
    </row>
    <row r="17" spans="3:10" x14ac:dyDescent="0.3">
      <c r="C17" s="5" t="e">
        <f t="shared" ref="C17:C49" si="6">IF(OR(D16="",D17=""),"",ABS(D17-D16))</f>
        <v>#VALUE!</v>
      </c>
      <c r="D17" s="5" t="e">
        <f t="shared" ref="D17:D49" si="7">IF(OR(E16="",E17=""),"",E17-E16)</f>
        <v>#VALUE!</v>
      </c>
      <c r="E17" s="8" t="str">
        <f>IF(OR('TM-21 Inputs'!$I$19="",'TM-21 Inputs'!$I$21=""),"-",IF(OR('TM-21 Inputs'!K21="",'TM-21 Inputs'!L21=""),"",IF(OR(AND('TM-21 Inputs'!$I$19&gt;=5952,'TM-21 Inputs'!$I$19&lt;=10000,'TM-21 Inputs'!K21&gt;='TM-21 Inputs'!$I$19-5096),AND('TM-21 Inputs'!$I$19&gt;10000,OR('TM-21 Inputs'!K21&gt;=0.5*'TM-21 Inputs'!$I$19,'TM-21 Inputs'!K21=SMALL('TM-21 Inputs'!$K$10:$K$49,COUNTIF('TM-21 Inputs'!$K$10:$K$49,"&lt;"&amp;(0.5*'TM-21 Inputs'!$I$19)+1))))),'TM-21 Inputs'!K21,"")))</f>
        <v>-</v>
      </c>
      <c r="F17" s="3">
        <f>IF(E17="","",'TM-21 Inputs'!L21)</f>
        <v>0</v>
      </c>
      <c r="G17" s="10" t="e">
        <f t="shared" ref="G17:G25" si="8">IF(F17="","",LN(F17))</f>
        <v>#NUM!</v>
      </c>
      <c r="H17" s="13" t="e">
        <f t="shared" ref="H17:H25" si="9">IF(E17="","",(G17*E17))</f>
        <v>#NUM!</v>
      </c>
      <c r="I17" s="17" t="e">
        <f t="shared" ref="I17:I25" si="10">IF(E17="","",E17^2)</f>
        <v>#VALUE!</v>
      </c>
      <c r="J17" s="18" t="e">
        <f t="shared" ref="J17:J25" si="11">IF(E17="","",E17*G17)</f>
        <v>#VALUE!</v>
      </c>
    </row>
    <row r="18" spans="3:10" x14ac:dyDescent="0.3">
      <c r="C18" s="5" t="e">
        <f t="shared" si="6"/>
        <v>#VALUE!</v>
      </c>
      <c r="D18" s="5" t="e">
        <f t="shared" si="7"/>
        <v>#VALUE!</v>
      </c>
      <c r="E18" s="8" t="str">
        <f>IF(OR('TM-21 Inputs'!$I$19="",'TM-21 Inputs'!$I$21=""),"-",IF(OR('TM-21 Inputs'!K22="",'TM-21 Inputs'!L22=""),"",IF(OR(AND('TM-21 Inputs'!$I$19&gt;=5952,'TM-21 Inputs'!$I$19&lt;=10000,'TM-21 Inputs'!K22&gt;='TM-21 Inputs'!$I$19-5096),AND('TM-21 Inputs'!$I$19&gt;10000,OR('TM-21 Inputs'!K22&gt;=0.5*'TM-21 Inputs'!$I$19,'TM-21 Inputs'!K22=SMALL('TM-21 Inputs'!$K$10:$K$49,COUNTIF('TM-21 Inputs'!$K$10:$K$49,"&lt;"&amp;(0.5*'TM-21 Inputs'!$I$19)+1))))),'TM-21 Inputs'!K22,"")))</f>
        <v>-</v>
      </c>
      <c r="F18" s="3">
        <f>IF(E18="","",'TM-21 Inputs'!L22)</f>
        <v>0</v>
      </c>
      <c r="G18" s="10" t="e">
        <f t="shared" si="8"/>
        <v>#NUM!</v>
      </c>
      <c r="H18" s="13" t="e">
        <f t="shared" si="9"/>
        <v>#NUM!</v>
      </c>
      <c r="I18" s="17" t="e">
        <f t="shared" si="10"/>
        <v>#VALUE!</v>
      </c>
      <c r="J18" s="18" t="e">
        <f t="shared" si="11"/>
        <v>#VALUE!</v>
      </c>
    </row>
    <row r="19" spans="3:10" x14ac:dyDescent="0.3">
      <c r="C19" s="5" t="e">
        <f t="shared" si="6"/>
        <v>#VALUE!</v>
      </c>
      <c r="D19" s="5" t="e">
        <f t="shared" si="7"/>
        <v>#VALUE!</v>
      </c>
      <c r="E19" s="8" t="str">
        <f>IF(OR('TM-21 Inputs'!$I$19="",'TM-21 Inputs'!$I$21=""),"-",IF(OR('TM-21 Inputs'!K23="",'TM-21 Inputs'!L23=""),"",IF(OR(AND('TM-21 Inputs'!$I$19&gt;=5952,'TM-21 Inputs'!$I$19&lt;=10000,'TM-21 Inputs'!K23&gt;='TM-21 Inputs'!$I$19-5096),AND('TM-21 Inputs'!$I$19&gt;10000,OR('TM-21 Inputs'!K23&gt;=0.5*'TM-21 Inputs'!$I$19,'TM-21 Inputs'!K23=SMALL('TM-21 Inputs'!$K$10:$K$49,COUNTIF('TM-21 Inputs'!$K$10:$K$49,"&lt;"&amp;(0.5*'TM-21 Inputs'!$I$19)+1))))),'TM-21 Inputs'!K23,"")))</f>
        <v>-</v>
      </c>
      <c r="F19" s="3">
        <f>IF(E19="","",'TM-21 Inputs'!L23)</f>
        <v>0</v>
      </c>
      <c r="G19" s="10" t="e">
        <f t="shared" si="8"/>
        <v>#NUM!</v>
      </c>
      <c r="H19" s="13" t="e">
        <f t="shared" si="9"/>
        <v>#NUM!</v>
      </c>
      <c r="I19" s="17" t="e">
        <f t="shared" si="10"/>
        <v>#VALUE!</v>
      </c>
      <c r="J19" s="18" t="e">
        <f t="shared" si="11"/>
        <v>#VALUE!</v>
      </c>
    </row>
    <row r="20" spans="3:10" x14ac:dyDescent="0.3">
      <c r="C20" s="5" t="e">
        <f t="shared" si="6"/>
        <v>#VALUE!</v>
      </c>
      <c r="D20" s="5" t="e">
        <f t="shared" si="7"/>
        <v>#VALUE!</v>
      </c>
      <c r="E20" s="8" t="str">
        <f>IF(OR('TM-21 Inputs'!$I$19="",'TM-21 Inputs'!$I$21=""),"-",IF(OR('TM-21 Inputs'!K24="",'TM-21 Inputs'!L24=""),"",IF(OR(AND('TM-21 Inputs'!$I$19&gt;=5952,'TM-21 Inputs'!$I$19&lt;=10000,'TM-21 Inputs'!K24&gt;='TM-21 Inputs'!$I$19-5096),AND('TM-21 Inputs'!$I$19&gt;10000,OR('TM-21 Inputs'!K24&gt;=0.5*'TM-21 Inputs'!$I$19,'TM-21 Inputs'!K24=SMALL('TM-21 Inputs'!$K$10:$K$49,COUNTIF('TM-21 Inputs'!$K$10:$K$49,"&lt;"&amp;(0.5*'TM-21 Inputs'!$I$19)+1))))),'TM-21 Inputs'!K24,"")))</f>
        <v>-</v>
      </c>
      <c r="F20" s="3">
        <f>IF(E20="","",'TM-21 Inputs'!L24)</f>
        <v>0</v>
      </c>
      <c r="G20" s="10" t="e">
        <f t="shared" si="8"/>
        <v>#NUM!</v>
      </c>
      <c r="H20" s="13" t="e">
        <f t="shared" si="9"/>
        <v>#NUM!</v>
      </c>
      <c r="I20" s="17" t="e">
        <f t="shared" si="10"/>
        <v>#VALUE!</v>
      </c>
      <c r="J20" s="18" t="e">
        <f t="shared" si="11"/>
        <v>#VALUE!</v>
      </c>
    </row>
    <row r="21" spans="3:10" x14ac:dyDescent="0.3">
      <c r="C21" s="5" t="e">
        <f t="shared" si="6"/>
        <v>#VALUE!</v>
      </c>
      <c r="D21" s="5" t="e">
        <f t="shared" si="7"/>
        <v>#VALUE!</v>
      </c>
      <c r="E21" s="8" t="str">
        <f>IF(OR('TM-21 Inputs'!$I$19="",'TM-21 Inputs'!$I$21=""),"-",IF(OR('TM-21 Inputs'!K25="",'TM-21 Inputs'!L25=""),"",IF(OR(AND('TM-21 Inputs'!$I$19&gt;=5952,'TM-21 Inputs'!$I$19&lt;=10000,'TM-21 Inputs'!K25&gt;='TM-21 Inputs'!$I$19-5096),AND('TM-21 Inputs'!$I$19&gt;10000,OR('TM-21 Inputs'!K25&gt;=0.5*'TM-21 Inputs'!$I$19,'TM-21 Inputs'!K25=SMALL('TM-21 Inputs'!$K$10:$K$49,COUNTIF('TM-21 Inputs'!$K$10:$K$49,"&lt;"&amp;(0.5*'TM-21 Inputs'!$I$19)+1))))),'TM-21 Inputs'!K25,"")))</f>
        <v>-</v>
      </c>
      <c r="F21" s="3">
        <f>IF(E21="","",'TM-21 Inputs'!L25)</f>
        <v>0</v>
      </c>
      <c r="G21" s="10" t="e">
        <f t="shared" si="8"/>
        <v>#NUM!</v>
      </c>
      <c r="H21" s="13" t="e">
        <f t="shared" si="9"/>
        <v>#NUM!</v>
      </c>
      <c r="I21" s="17" t="e">
        <f t="shared" si="10"/>
        <v>#VALUE!</v>
      </c>
      <c r="J21" s="18" t="e">
        <f t="shared" si="11"/>
        <v>#VALUE!</v>
      </c>
    </row>
    <row r="22" spans="3:10" x14ac:dyDescent="0.3">
      <c r="C22" s="5" t="e">
        <f t="shared" si="6"/>
        <v>#VALUE!</v>
      </c>
      <c r="D22" s="5" t="e">
        <f t="shared" si="7"/>
        <v>#VALUE!</v>
      </c>
      <c r="E22" s="8" t="str">
        <f>IF(OR('TM-21 Inputs'!$I$19="",'TM-21 Inputs'!$I$21=""),"-",IF(OR('TM-21 Inputs'!K26="",'TM-21 Inputs'!L26=""),"",IF(OR(AND('TM-21 Inputs'!$I$19&gt;=5952,'TM-21 Inputs'!$I$19&lt;=10000,'TM-21 Inputs'!K26&gt;='TM-21 Inputs'!$I$19-5096),AND('TM-21 Inputs'!$I$19&gt;10000,OR('TM-21 Inputs'!K26&gt;=0.5*'TM-21 Inputs'!$I$19,'TM-21 Inputs'!K26=SMALL('TM-21 Inputs'!$K$10:$K$49,COUNTIF('TM-21 Inputs'!$K$10:$K$49,"&lt;"&amp;(0.5*'TM-21 Inputs'!$I$19)+1))))),'TM-21 Inputs'!K26,"")))</f>
        <v>-</v>
      </c>
      <c r="F22" s="3">
        <f>IF(E22="","",'TM-21 Inputs'!L26)</f>
        <v>0</v>
      </c>
      <c r="G22" s="10" t="e">
        <f t="shared" si="8"/>
        <v>#NUM!</v>
      </c>
      <c r="H22" s="13" t="e">
        <f t="shared" si="9"/>
        <v>#NUM!</v>
      </c>
      <c r="I22" s="17" t="e">
        <f t="shared" si="10"/>
        <v>#VALUE!</v>
      </c>
      <c r="J22" s="18" t="e">
        <f t="shared" si="11"/>
        <v>#VALUE!</v>
      </c>
    </row>
    <row r="23" spans="3:10" x14ac:dyDescent="0.3">
      <c r="C23" s="5" t="e">
        <f t="shared" si="6"/>
        <v>#VALUE!</v>
      </c>
      <c r="D23" s="5" t="e">
        <f t="shared" si="7"/>
        <v>#VALUE!</v>
      </c>
      <c r="E23" s="8" t="str">
        <f>IF(OR('TM-21 Inputs'!$I$19="",'TM-21 Inputs'!$I$21=""),"-",IF(OR('TM-21 Inputs'!K27="",'TM-21 Inputs'!L27=""),"",IF(OR(AND('TM-21 Inputs'!$I$19&gt;=5952,'TM-21 Inputs'!$I$19&lt;=10000,'TM-21 Inputs'!K27&gt;='TM-21 Inputs'!$I$19-5096),AND('TM-21 Inputs'!$I$19&gt;10000,OR('TM-21 Inputs'!K27&gt;=0.5*'TM-21 Inputs'!$I$19,'TM-21 Inputs'!K27=SMALL('TM-21 Inputs'!$K$10:$K$49,COUNTIF('TM-21 Inputs'!$K$10:$K$49,"&lt;"&amp;(0.5*'TM-21 Inputs'!$I$19)+1))))),'TM-21 Inputs'!K27,"")))</f>
        <v>-</v>
      </c>
      <c r="F23" s="3">
        <f>IF(E23="","",'TM-21 Inputs'!L27)</f>
        <v>0</v>
      </c>
      <c r="G23" s="10" t="e">
        <f t="shared" si="8"/>
        <v>#NUM!</v>
      </c>
      <c r="H23" s="13" t="e">
        <f t="shared" si="9"/>
        <v>#NUM!</v>
      </c>
      <c r="I23" s="17" t="e">
        <f t="shared" si="10"/>
        <v>#VALUE!</v>
      </c>
      <c r="J23" s="18" t="e">
        <f t="shared" si="11"/>
        <v>#VALUE!</v>
      </c>
    </row>
    <row r="24" spans="3:10" x14ac:dyDescent="0.3">
      <c r="C24" s="5" t="e">
        <f t="shared" si="6"/>
        <v>#VALUE!</v>
      </c>
      <c r="D24" s="5" t="e">
        <f t="shared" si="7"/>
        <v>#VALUE!</v>
      </c>
      <c r="E24" s="8" t="str">
        <f>IF(OR('TM-21 Inputs'!$I$19="",'TM-21 Inputs'!$I$21=""),"-",IF(OR('TM-21 Inputs'!K28="",'TM-21 Inputs'!L28=""),"",IF(OR(AND('TM-21 Inputs'!$I$19&gt;=5952,'TM-21 Inputs'!$I$19&lt;=10000,'TM-21 Inputs'!K28&gt;='TM-21 Inputs'!$I$19-5096),AND('TM-21 Inputs'!$I$19&gt;10000,OR('TM-21 Inputs'!K28&gt;=0.5*'TM-21 Inputs'!$I$19,'TM-21 Inputs'!K28=SMALL('TM-21 Inputs'!$K$10:$K$49,COUNTIF('TM-21 Inputs'!$K$10:$K$49,"&lt;"&amp;(0.5*'TM-21 Inputs'!$I$19)+1))))),'TM-21 Inputs'!K28,"")))</f>
        <v>-</v>
      </c>
      <c r="F24" s="3">
        <f>IF(E24="","",'TM-21 Inputs'!L28)</f>
        <v>0</v>
      </c>
      <c r="G24" s="10" t="e">
        <f t="shared" si="8"/>
        <v>#NUM!</v>
      </c>
      <c r="H24" s="13" t="e">
        <f t="shared" si="9"/>
        <v>#NUM!</v>
      </c>
      <c r="I24" s="17" t="e">
        <f t="shared" si="10"/>
        <v>#VALUE!</v>
      </c>
      <c r="J24" s="18" t="e">
        <f t="shared" si="11"/>
        <v>#VALUE!</v>
      </c>
    </row>
    <row r="25" spans="3:10" x14ac:dyDescent="0.3">
      <c r="C25" s="5" t="e">
        <f t="shared" si="6"/>
        <v>#VALUE!</v>
      </c>
      <c r="D25" s="5" t="e">
        <f t="shared" si="7"/>
        <v>#VALUE!</v>
      </c>
      <c r="E25" s="8" t="str">
        <f>IF(OR('TM-21 Inputs'!$I$19="",'TM-21 Inputs'!$I$21=""),"-",IF(OR('TM-21 Inputs'!K29="",'TM-21 Inputs'!L29=""),"",IF(OR(AND('TM-21 Inputs'!$I$19&gt;=5952,'TM-21 Inputs'!$I$19&lt;=10000,'TM-21 Inputs'!K29&gt;='TM-21 Inputs'!$I$19-5096),AND('TM-21 Inputs'!$I$19&gt;10000,OR('TM-21 Inputs'!K29&gt;=0.5*'TM-21 Inputs'!$I$19,'TM-21 Inputs'!K29=SMALL('TM-21 Inputs'!$K$10:$K$49,COUNTIF('TM-21 Inputs'!$K$10:$K$49,"&lt;"&amp;(0.5*'TM-21 Inputs'!$I$19)+1))))),'TM-21 Inputs'!K29,"")))</f>
        <v>-</v>
      </c>
      <c r="F25" s="3">
        <f>IF(E25="","",'TM-21 Inputs'!L29)</f>
        <v>0</v>
      </c>
      <c r="G25" s="10" t="e">
        <f t="shared" ref="G25:G36" si="12">IF(F25="","",LN(F25))</f>
        <v>#NUM!</v>
      </c>
      <c r="H25" s="13" t="e">
        <f t="shared" ref="H25:H36" si="13">IF(E25="","",(G25*E25))</f>
        <v>#NUM!</v>
      </c>
      <c r="I25" s="17" t="e">
        <f t="shared" ref="I25:I36" si="14">IF(E25="","",E25^2)</f>
        <v>#VALUE!</v>
      </c>
      <c r="J25" s="18" t="e">
        <f t="shared" ref="J25:J36" si="15">IF(E25="","",E25*G25)</f>
        <v>#VALUE!</v>
      </c>
    </row>
    <row r="26" spans="3:10" x14ac:dyDescent="0.3">
      <c r="C26" s="5" t="e">
        <f t="shared" si="6"/>
        <v>#VALUE!</v>
      </c>
      <c r="D26" s="5" t="e">
        <f t="shared" si="7"/>
        <v>#VALUE!</v>
      </c>
      <c r="E26" s="8" t="str">
        <f>IF(OR('TM-21 Inputs'!$I$19="",'TM-21 Inputs'!$I$21=""),"-",IF(OR('TM-21 Inputs'!K30="",'TM-21 Inputs'!L30=""),"",IF(OR(AND('TM-21 Inputs'!$I$19&gt;=5952,'TM-21 Inputs'!$I$19&lt;=10000,'TM-21 Inputs'!K30&gt;='TM-21 Inputs'!$I$19-5096),AND('TM-21 Inputs'!$I$19&gt;10000,OR('TM-21 Inputs'!K30&gt;=0.5*'TM-21 Inputs'!$I$19,'TM-21 Inputs'!K30=SMALL('TM-21 Inputs'!$K$10:$K$49,COUNTIF('TM-21 Inputs'!$K$10:$K$49,"&lt;"&amp;(0.5*'TM-21 Inputs'!$I$19)+1))))),'TM-21 Inputs'!K30,"")))</f>
        <v>-</v>
      </c>
      <c r="F26" s="3">
        <f>IF(E26="","",'TM-21 Inputs'!L30)</f>
        <v>0</v>
      </c>
      <c r="G26" s="10" t="e">
        <f t="shared" si="12"/>
        <v>#NUM!</v>
      </c>
      <c r="H26" s="13" t="e">
        <f t="shared" si="13"/>
        <v>#NUM!</v>
      </c>
      <c r="I26" s="17" t="e">
        <f t="shared" si="14"/>
        <v>#VALUE!</v>
      </c>
      <c r="J26" s="18" t="e">
        <f t="shared" si="15"/>
        <v>#VALUE!</v>
      </c>
    </row>
    <row r="27" spans="3:10" x14ac:dyDescent="0.3">
      <c r="C27" s="5" t="e">
        <f t="shared" si="6"/>
        <v>#VALUE!</v>
      </c>
      <c r="D27" s="5" t="e">
        <f t="shared" si="7"/>
        <v>#VALUE!</v>
      </c>
      <c r="E27" s="8" t="str">
        <f>IF(OR('TM-21 Inputs'!$I$19="",'TM-21 Inputs'!$I$21=""),"-",IF(OR('TM-21 Inputs'!K31="",'TM-21 Inputs'!L31=""),"",IF(OR(AND('TM-21 Inputs'!$I$19&gt;=5952,'TM-21 Inputs'!$I$19&lt;=10000,'TM-21 Inputs'!K31&gt;='TM-21 Inputs'!$I$19-5096),AND('TM-21 Inputs'!$I$19&gt;10000,OR('TM-21 Inputs'!K31&gt;=0.5*'TM-21 Inputs'!$I$19,'TM-21 Inputs'!K31=SMALL('TM-21 Inputs'!$K$10:$K$49,COUNTIF('TM-21 Inputs'!$K$10:$K$49,"&lt;"&amp;(0.5*'TM-21 Inputs'!$I$19)+1))))),'TM-21 Inputs'!K31,"")))</f>
        <v>-</v>
      </c>
      <c r="F27" s="3">
        <f>IF(E27="","",'TM-21 Inputs'!L31)</f>
        <v>0</v>
      </c>
      <c r="G27" s="10" t="e">
        <f t="shared" si="12"/>
        <v>#NUM!</v>
      </c>
      <c r="H27" s="13" t="e">
        <f t="shared" si="13"/>
        <v>#NUM!</v>
      </c>
      <c r="I27" s="17" t="e">
        <f t="shared" si="14"/>
        <v>#VALUE!</v>
      </c>
      <c r="J27" s="18" t="e">
        <f t="shared" si="15"/>
        <v>#VALUE!</v>
      </c>
    </row>
    <row r="28" spans="3:10" x14ac:dyDescent="0.3">
      <c r="C28" s="5" t="e">
        <f t="shared" si="6"/>
        <v>#VALUE!</v>
      </c>
      <c r="D28" s="5" t="e">
        <f t="shared" si="7"/>
        <v>#VALUE!</v>
      </c>
      <c r="E28" s="8" t="str">
        <f>IF(OR('TM-21 Inputs'!$I$19="",'TM-21 Inputs'!$I$21=""),"-",IF(OR('TM-21 Inputs'!K32="",'TM-21 Inputs'!L32=""),"",IF(OR(AND('TM-21 Inputs'!$I$19&gt;=5952,'TM-21 Inputs'!$I$19&lt;=10000,'TM-21 Inputs'!K32&gt;='TM-21 Inputs'!$I$19-5096),AND('TM-21 Inputs'!$I$19&gt;10000,OR('TM-21 Inputs'!K32&gt;=0.5*'TM-21 Inputs'!$I$19,'TM-21 Inputs'!K32=SMALL('TM-21 Inputs'!$K$10:$K$49,COUNTIF('TM-21 Inputs'!$K$10:$K$49,"&lt;"&amp;(0.5*'TM-21 Inputs'!$I$19)+1))))),'TM-21 Inputs'!K32,"")))</f>
        <v>-</v>
      </c>
      <c r="F28" s="3">
        <f>IF(E28="","",'TM-21 Inputs'!L32)</f>
        <v>0</v>
      </c>
      <c r="G28" s="10" t="e">
        <f t="shared" si="12"/>
        <v>#NUM!</v>
      </c>
      <c r="H28" s="13" t="e">
        <f t="shared" si="13"/>
        <v>#NUM!</v>
      </c>
      <c r="I28" s="17" t="e">
        <f t="shared" si="14"/>
        <v>#VALUE!</v>
      </c>
      <c r="J28" s="18" t="e">
        <f t="shared" si="15"/>
        <v>#VALUE!</v>
      </c>
    </row>
    <row r="29" spans="3:10" x14ac:dyDescent="0.3">
      <c r="C29" s="5" t="e">
        <f t="shared" si="6"/>
        <v>#VALUE!</v>
      </c>
      <c r="D29" s="5" t="e">
        <f t="shared" si="7"/>
        <v>#VALUE!</v>
      </c>
      <c r="E29" s="8" t="str">
        <f>IF(OR('TM-21 Inputs'!$I$19="",'TM-21 Inputs'!$I$21=""),"-",IF(OR('TM-21 Inputs'!K33="",'TM-21 Inputs'!L33=""),"",IF(OR(AND('TM-21 Inputs'!$I$19&gt;=5952,'TM-21 Inputs'!$I$19&lt;=10000,'TM-21 Inputs'!K33&gt;='TM-21 Inputs'!$I$19-5096),AND('TM-21 Inputs'!$I$19&gt;10000,OR('TM-21 Inputs'!K33&gt;=0.5*'TM-21 Inputs'!$I$19,'TM-21 Inputs'!K33=SMALL('TM-21 Inputs'!$K$10:$K$49,COUNTIF('TM-21 Inputs'!$K$10:$K$49,"&lt;"&amp;(0.5*'TM-21 Inputs'!$I$19)+1))))),'TM-21 Inputs'!K33,"")))</f>
        <v>-</v>
      </c>
      <c r="F29" s="3">
        <f>IF(E29="","",'TM-21 Inputs'!L33)</f>
        <v>0</v>
      </c>
      <c r="G29" s="10" t="e">
        <f t="shared" si="12"/>
        <v>#NUM!</v>
      </c>
      <c r="H29" s="13" t="e">
        <f t="shared" si="13"/>
        <v>#NUM!</v>
      </c>
      <c r="I29" s="17" t="e">
        <f t="shared" si="14"/>
        <v>#VALUE!</v>
      </c>
      <c r="J29" s="18" t="e">
        <f t="shared" si="15"/>
        <v>#VALUE!</v>
      </c>
    </row>
    <row r="30" spans="3:10" x14ac:dyDescent="0.3">
      <c r="C30" s="5" t="e">
        <f t="shared" si="6"/>
        <v>#VALUE!</v>
      </c>
      <c r="D30" s="5" t="e">
        <f t="shared" si="7"/>
        <v>#VALUE!</v>
      </c>
      <c r="E30" s="8" t="str">
        <f>IF(OR('TM-21 Inputs'!$I$19="",'TM-21 Inputs'!$I$21=""),"-",IF(OR('TM-21 Inputs'!K34="",'TM-21 Inputs'!L34=""),"",IF(OR(AND('TM-21 Inputs'!$I$19&gt;=5952,'TM-21 Inputs'!$I$19&lt;=10000,'TM-21 Inputs'!K34&gt;='TM-21 Inputs'!$I$19-5096),AND('TM-21 Inputs'!$I$19&gt;10000,OR('TM-21 Inputs'!K34&gt;=0.5*'TM-21 Inputs'!$I$19,'TM-21 Inputs'!K34=SMALL('TM-21 Inputs'!$K$10:$K$49,COUNTIF('TM-21 Inputs'!$K$10:$K$49,"&lt;"&amp;(0.5*'TM-21 Inputs'!$I$19)+1))))),'TM-21 Inputs'!K34,"")))</f>
        <v>-</v>
      </c>
      <c r="F30" s="3">
        <f>IF(E30="","",'TM-21 Inputs'!L34)</f>
        <v>0</v>
      </c>
      <c r="G30" s="10" t="e">
        <f t="shared" si="12"/>
        <v>#NUM!</v>
      </c>
      <c r="H30" s="13" t="e">
        <f t="shared" si="13"/>
        <v>#NUM!</v>
      </c>
      <c r="I30" s="17" t="e">
        <f t="shared" si="14"/>
        <v>#VALUE!</v>
      </c>
      <c r="J30" s="18" t="e">
        <f t="shared" si="15"/>
        <v>#VALUE!</v>
      </c>
    </row>
    <row r="31" spans="3:10" x14ac:dyDescent="0.3">
      <c r="C31" s="5" t="e">
        <f t="shared" si="6"/>
        <v>#VALUE!</v>
      </c>
      <c r="D31" s="5" t="e">
        <f t="shared" si="7"/>
        <v>#VALUE!</v>
      </c>
      <c r="E31" s="8" t="str">
        <f>IF(OR('TM-21 Inputs'!$I$19="",'TM-21 Inputs'!$I$21=""),"-",IF(OR('TM-21 Inputs'!K35="",'TM-21 Inputs'!L35=""),"",IF(OR(AND('TM-21 Inputs'!$I$19&gt;=5952,'TM-21 Inputs'!$I$19&lt;=10000,'TM-21 Inputs'!K35&gt;='TM-21 Inputs'!$I$19-5096),AND('TM-21 Inputs'!$I$19&gt;10000,OR('TM-21 Inputs'!K35&gt;=0.5*'TM-21 Inputs'!$I$19,'TM-21 Inputs'!K35=SMALL('TM-21 Inputs'!$K$10:$K$49,COUNTIF('TM-21 Inputs'!$K$10:$K$49,"&lt;"&amp;(0.5*'TM-21 Inputs'!$I$19)+1))))),'TM-21 Inputs'!K35,"")))</f>
        <v>-</v>
      </c>
      <c r="F31" s="3">
        <f>IF(E31="","",'TM-21 Inputs'!L35)</f>
        <v>0</v>
      </c>
      <c r="G31" s="10" t="e">
        <f t="shared" si="12"/>
        <v>#NUM!</v>
      </c>
      <c r="H31" s="13" t="e">
        <f t="shared" si="13"/>
        <v>#NUM!</v>
      </c>
      <c r="I31" s="17" t="e">
        <f t="shared" si="14"/>
        <v>#VALUE!</v>
      </c>
      <c r="J31" s="18" t="e">
        <f t="shared" si="15"/>
        <v>#VALUE!</v>
      </c>
    </row>
    <row r="32" spans="3:10" x14ac:dyDescent="0.3">
      <c r="C32" s="5" t="e">
        <f t="shared" si="6"/>
        <v>#VALUE!</v>
      </c>
      <c r="D32" s="5" t="e">
        <f t="shared" si="7"/>
        <v>#VALUE!</v>
      </c>
      <c r="E32" s="8" t="str">
        <f>IF(OR('TM-21 Inputs'!$I$19="",'TM-21 Inputs'!$I$21=""),"-",IF(OR('TM-21 Inputs'!K36="",'TM-21 Inputs'!L36=""),"",IF(OR(AND('TM-21 Inputs'!$I$19&gt;=5952,'TM-21 Inputs'!$I$19&lt;=10000,'TM-21 Inputs'!K36&gt;='TM-21 Inputs'!$I$19-5096),AND('TM-21 Inputs'!$I$19&gt;10000,OR('TM-21 Inputs'!K36&gt;=0.5*'TM-21 Inputs'!$I$19,'TM-21 Inputs'!K36=SMALL('TM-21 Inputs'!$K$10:$K$49,COUNTIF('TM-21 Inputs'!$K$10:$K$49,"&lt;"&amp;(0.5*'TM-21 Inputs'!$I$19)+1))))),'TM-21 Inputs'!K36,"")))</f>
        <v>-</v>
      </c>
      <c r="F32" s="3">
        <f>IF(E32="","",'TM-21 Inputs'!L36)</f>
        <v>0</v>
      </c>
      <c r="G32" s="10" t="e">
        <f t="shared" si="12"/>
        <v>#NUM!</v>
      </c>
      <c r="H32" s="13" t="e">
        <f t="shared" si="13"/>
        <v>#NUM!</v>
      </c>
      <c r="I32" s="17" t="e">
        <f t="shared" si="14"/>
        <v>#VALUE!</v>
      </c>
      <c r="J32" s="18" t="e">
        <f t="shared" si="15"/>
        <v>#VALUE!</v>
      </c>
    </row>
    <row r="33" spans="3:10" x14ac:dyDescent="0.3">
      <c r="C33" s="5" t="e">
        <f t="shared" si="6"/>
        <v>#VALUE!</v>
      </c>
      <c r="D33" s="5" t="e">
        <f t="shared" si="7"/>
        <v>#VALUE!</v>
      </c>
      <c r="E33" s="8" t="str">
        <f>IF(OR('TM-21 Inputs'!$I$19="",'TM-21 Inputs'!$I$21=""),"-",IF(OR('TM-21 Inputs'!K37="",'TM-21 Inputs'!L37=""),"",IF(OR(AND('TM-21 Inputs'!$I$19&gt;=5952,'TM-21 Inputs'!$I$19&lt;=10000,'TM-21 Inputs'!K37&gt;='TM-21 Inputs'!$I$19-5096),AND('TM-21 Inputs'!$I$19&gt;10000,OR('TM-21 Inputs'!K37&gt;=0.5*'TM-21 Inputs'!$I$19,'TM-21 Inputs'!K37=SMALL('TM-21 Inputs'!$K$10:$K$49,COUNTIF('TM-21 Inputs'!$K$10:$K$49,"&lt;"&amp;(0.5*'TM-21 Inputs'!$I$19)+1))))),'TM-21 Inputs'!K37,"")))</f>
        <v>-</v>
      </c>
      <c r="F33" s="3">
        <f>IF(E33="","",'TM-21 Inputs'!L37)</f>
        <v>0</v>
      </c>
      <c r="G33" s="10" t="e">
        <f t="shared" si="12"/>
        <v>#NUM!</v>
      </c>
      <c r="H33" s="13" t="e">
        <f t="shared" si="13"/>
        <v>#NUM!</v>
      </c>
      <c r="I33" s="17" t="e">
        <f t="shared" si="14"/>
        <v>#VALUE!</v>
      </c>
      <c r="J33" s="18" t="e">
        <f t="shared" si="15"/>
        <v>#VALUE!</v>
      </c>
    </row>
    <row r="34" spans="3:10" x14ac:dyDescent="0.3">
      <c r="C34" s="5" t="e">
        <f t="shared" si="6"/>
        <v>#VALUE!</v>
      </c>
      <c r="D34" s="5" t="e">
        <f t="shared" si="7"/>
        <v>#VALUE!</v>
      </c>
      <c r="E34" s="8" t="str">
        <f>IF(OR('TM-21 Inputs'!$I$19="",'TM-21 Inputs'!$I$21=""),"-",IF(OR('TM-21 Inputs'!K38="",'TM-21 Inputs'!L38=""),"",IF(OR(AND('TM-21 Inputs'!$I$19&gt;=5952,'TM-21 Inputs'!$I$19&lt;=10000,'TM-21 Inputs'!K38&gt;='TM-21 Inputs'!$I$19-5096),AND('TM-21 Inputs'!$I$19&gt;10000,OR('TM-21 Inputs'!K38&gt;=0.5*'TM-21 Inputs'!$I$19,'TM-21 Inputs'!K38=SMALL('TM-21 Inputs'!$K$10:$K$49,COUNTIF('TM-21 Inputs'!$K$10:$K$49,"&lt;"&amp;(0.5*'TM-21 Inputs'!$I$19)+1))))),'TM-21 Inputs'!K38,"")))</f>
        <v>-</v>
      </c>
      <c r="F34" s="3">
        <f>IF(E34="","",'TM-21 Inputs'!L38)</f>
        <v>0</v>
      </c>
      <c r="G34" s="10" t="e">
        <f t="shared" si="12"/>
        <v>#NUM!</v>
      </c>
      <c r="H34" s="13" t="e">
        <f t="shared" si="13"/>
        <v>#NUM!</v>
      </c>
      <c r="I34" s="17" t="e">
        <f t="shared" si="14"/>
        <v>#VALUE!</v>
      </c>
      <c r="J34" s="18" t="e">
        <f t="shared" si="15"/>
        <v>#VALUE!</v>
      </c>
    </row>
    <row r="35" spans="3:10" x14ac:dyDescent="0.3">
      <c r="C35" s="5" t="e">
        <f t="shared" si="6"/>
        <v>#VALUE!</v>
      </c>
      <c r="D35" s="5" t="e">
        <f t="shared" si="7"/>
        <v>#VALUE!</v>
      </c>
      <c r="E35" s="8" t="str">
        <f>IF(OR('TM-21 Inputs'!$I$19="",'TM-21 Inputs'!$I$21=""),"-",IF(OR('TM-21 Inputs'!K39="",'TM-21 Inputs'!L39=""),"",IF(OR(AND('TM-21 Inputs'!$I$19&gt;=5952,'TM-21 Inputs'!$I$19&lt;=10000,'TM-21 Inputs'!K39&gt;='TM-21 Inputs'!$I$19-5096),AND('TM-21 Inputs'!$I$19&gt;10000,OR('TM-21 Inputs'!K39&gt;=0.5*'TM-21 Inputs'!$I$19,'TM-21 Inputs'!K39=SMALL('TM-21 Inputs'!$K$10:$K$49,COUNTIF('TM-21 Inputs'!$K$10:$K$49,"&lt;"&amp;(0.5*'TM-21 Inputs'!$I$19)+1))))),'TM-21 Inputs'!K39,"")))</f>
        <v>-</v>
      </c>
      <c r="F35" s="3">
        <f>IF(E35="","",'TM-21 Inputs'!L39)</f>
        <v>0</v>
      </c>
      <c r="G35" s="10" t="e">
        <f t="shared" si="12"/>
        <v>#NUM!</v>
      </c>
      <c r="H35" s="13" t="e">
        <f t="shared" si="13"/>
        <v>#NUM!</v>
      </c>
      <c r="I35" s="17" t="e">
        <f t="shared" si="14"/>
        <v>#VALUE!</v>
      </c>
      <c r="J35" s="18" t="e">
        <f t="shared" si="15"/>
        <v>#VALUE!</v>
      </c>
    </row>
    <row r="36" spans="3:10" x14ac:dyDescent="0.3">
      <c r="C36" s="5" t="e">
        <f t="shared" si="6"/>
        <v>#VALUE!</v>
      </c>
      <c r="D36" s="5" t="e">
        <f t="shared" si="7"/>
        <v>#VALUE!</v>
      </c>
      <c r="E36" s="8" t="str">
        <f>IF(OR('TM-21 Inputs'!$I$19="",'TM-21 Inputs'!$I$21=""),"-",IF(OR('TM-21 Inputs'!K40="",'TM-21 Inputs'!L40=""),"",IF(OR(AND('TM-21 Inputs'!$I$19&gt;=5952,'TM-21 Inputs'!$I$19&lt;=10000,'TM-21 Inputs'!K40&gt;='TM-21 Inputs'!$I$19-5096),AND('TM-21 Inputs'!$I$19&gt;10000,OR('TM-21 Inputs'!K40&gt;=0.5*'TM-21 Inputs'!$I$19,'TM-21 Inputs'!K40=SMALL('TM-21 Inputs'!$K$10:$K$49,COUNTIF('TM-21 Inputs'!$K$10:$K$49,"&lt;"&amp;(0.5*'TM-21 Inputs'!$I$19)+1))))),'TM-21 Inputs'!K40,"")))</f>
        <v>-</v>
      </c>
      <c r="F36" s="3">
        <f>IF(E36="","",'TM-21 Inputs'!L40)</f>
        <v>0</v>
      </c>
      <c r="G36" s="10" t="e">
        <f t="shared" si="12"/>
        <v>#NUM!</v>
      </c>
      <c r="H36" s="13" t="e">
        <f t="shared" si="13"/>
        <v>#NUM!</v>
      </c>
      <c r="I36" s="17" t="e">
        <f t="shared" si="14"/>
        <v>#VALUE!</v>
      </c>
      <c r="J36" s="18" t="e">
        <f t="shared" si="15"/>
        <v>#VALUE!</v>
      </c>
    </row>
    <row r="37" spans="3:10" x14ac:dyDescent="0.3">
      <c r="C37" s="5" t="e">
        <f t="shared" si="6"/>
        <v>#VALUE!</v>
      </c>
      <c r="D37" s="5" t="e">
        <f t="shared" si="7"/>
        <v>#VALUE!</v>
      </c>
      <c r="E37" s="8" t="str">
        <f>IF(OR('TM-21 Inputs'!$I$19="",'TM-21 Inputs'!$I$21=""),"-",IF(OR('TM-21 Inputs'!K41="",'TM-21 Inputs'!L41=""),"",IF(OR(AND('TM-21 Inputs'!$I$19&gt;=5952,'TM-21 Inputs'!$I$19&lt;=10000,'TM-21 Inputs'!K41&gt;='TM-21 Inputs'!$I$19-5096),AND('TM-21 Inputs'!$I$19&gt;10000,OR('TM-21 Inputs'!K41&gt;=0.5*'TM-21 Inputs'!$I$19,'TM-21 Inputs'!K41=SMALL('TM-21 Inputs'!$K$10:$K$49,COUNTIF('TM-21 Inputs'!$K$10:$K$49,"&lt;"&amp;(0.5*'TM-21 Inputs'!$I$19)+1))))),'TM-21 Inputs'!K41,"")))</f>
        <v>-</v>
      </c>
      <c r="F37" s="3">
        <f>IF(E37="","",'TM-21 Inputs'!L41)</f>
        <v>0</v>
      </c>
      <c r="G37" s="10" t="e">
        <f t="shared" ref="G37:G49" si="16">IF(F37="","",LN(F37))</f>
        <v>#NUM!</v>
      </c>
      <c r="H37" s="13" t="e">
        <f t="shared" ref="H37:H49" si="17">IF(E37="","",(G37*E37))</f>
        <v>#NUM!</v>
      </c>
      <c r="I37" s="17" t="e">
        <f t="shared" ref="I37:I49" si="18">IF(E37="","",E37^2)</f>
        <v>#VALUE!</v>
      </c>
      <c r="J37" s="18" t="e">
        <f t="shared" ref="J37:J49" si="19">IF(E37="","",E37*G37)</f>
        <v>#VALUE!</v>
      </c>
    </row>
    <row r="38" spans="3:10" x14ac:dyDescent="0.3">
      <c r="C38" s="5" t="e">
        <f t="shared" si="6"/>
        <v>#VALUE!</v>
      </c>
      <c r="D38" s="5" t="e">
        <f t="shared" si="7"/>
        <v>#VALUE!</v>
      </c>
      <c r="E38" s="8" t="str">
        <f>IF(OR('TM-21 Inputs'!$I$19="",'TM-21 Inputs'!$I$21=""),"-",IF(OR('TM-21 Inputs'!K42="",'TM-21 Inputs'!L42=""),"",IF(OR(AND('TM-21 Inputs'!$I$19&gt;=5952,'TM-21 Inputs'!$I$19&lt;=10000,'TM-21 Inputs'!K42&gt;='TM-21 Inputs'!$I$19-5096),AND('TM-21 Inputs'!$I$19&gt;10000,OR('TM-21 Inputs'!K42&gt;=0.5*'TM-21 Inputs'!$I$19,'TM-21 Inputs'!K42=SMALL('TM-21 Inputs'!$K$10:$K$49,COUNTIF('TM-21 Inputs'!$K$10:$K$49,"&lt;"&amp;(0.5*'TM-21 Inputs'!$I$19)+1))))),'TM-21 Inputs'!K42,"")))</f>
        <v>-</v>
      </c>
      <c r="F38" s="3">
        <f>IF(E38="","",'TM-21 Inputs'!L42)</f>
        <v>0</v>
      </c>
      <c r="G38" s="10" t="e">
        <f t="shared" si="16"/>
        <v>#NUM!</v>
      </c>
      <c r="H38" s="13" t="e">
        <f t="shared" si="17"/>
        <v>#NUM!</v>
      </c>
      <c r="I38" s="17" t="e">
        <f t="shared" si="18"/>
        <v>#VALUE!</v>
      </c>
      <c r="J38" s="18" t="e">
        <f t="shared" si="19"/>
        <v>#VALUE!</v>
      </c>
    </row>
    <row r="39" spans="3:10" x14ac:dyDescent="0.3">
      <c r="C39" s="5" t="e">
        <f t="shared" si="6"/>
        <v>#VALUE!</v>
      </c>
      <c r="D39" s="5" t="e">
        <f t="shared" si="7"/>
        <v>#VALUE!</v>
      </c>
      <c r="E39" s="8" t="str">
        <f>IF(OR('TM-21 Inputs'!$I$19="",'TM-21 Inputs'!$I$21=""),"-",IF(OR('TM-21 Inputs'!K43="",'TM-21 Inputs'!L43=""),"",IF(OR(AND('TM-21 Inputs'!$I$19&gt;=5952,'TM-21 Inputs'!$I$19&lt;=10000,'TM-21 Inputs'!K43&gt;='TM-21 Inputs'!$I$19-5096),AND('TM-21 Inputs'!$I$19&gt;10000,OR('TM-21 Inputs'!K43&gt;=0.5*'TM-21 Inputs'!$I$19,'TM-21 Inputs'!K43=SMALL('TM-21 Inputs'!$K$10:$K$49,COUNTIF('TM-21 Inputs'!$K$10:$K$49,"&lt;"&amp;(0.5*'TM-21 Inputs'!$I$19)+1))))),'TM-21 Inputs'!K43,"")))</f>
        <v>-</v>
      </c>
      <c r="F39" s="3">
        <f>IF(E39="","",'TM-21 Inputs'!L43)</f>
        <v>0</v>
      </c>
      <c r="G39" s="10" t="e">
        <f t="shared" si="16"/>
        <v>#NUM!</v>
      </c>
      <c r="H39" s="13" t="e">
        <f t="shared" si="17"/>
        <v>#NUM!</v>
      </c>
      <c r="I39" s="17" t="e">
        <f t="shared" si="18"/>
        <v>#VALUE!</v>
      </c>
      <c r="J39" s="18" t="e">
        <f t="shared" si="19"/>
        <v>#VALUE!</v>
      </c>
    </row>
    <row r="40" spans="3:10" x14ac:dyDescent="0.3">
      <c r="C40" s="5" t="e">
        <f t="shared" si="6"/>
        <v>#VALUE!</v>
      </c>
      <c r="D40" s="5" t="e">
        <f t="shared" si="7"/>
        <v>#VALUE!</v>
      </c>
      <c r="E40" s="8" t="str">
        <f>IF(OR('TM-21 Inputs'!$I$19="",'TM-21 Inputs'!$I$21=""),"-",IF(OR('TM-21 Inputs'!K44="",'TM-21 Inputs'!L44=""),"",IF(OR(AND('TM-21 Inputs'!$I$19&gt;=5952,'TM-21 Inputs'!$I$19&lt;=10000,'TM-21 Inputs'!K44&gt;='TM-21 Inputs'!$I$19-5096),AND('TM-21 Inputs'!$I$19&gt;10000,OR('TM-21 Inputs'!K44&gt;=0.5*'TM-21 Inputs'!$I$19,'TM-21 Inputs'!K44=SMALL('TM-21 Inputs'!$K$10:$K$49,COUNTIF('TM-21 Inputs'!$K$10:$K$49,"&lt;"&amp;(0.5*'TM-21 Inputs'!$I$19)+1))))),'TM-21 Inputs'!K44,"")))</f>
        <v>-</v>
      </c>
      <c r="F40" s="3">
        <f>IF(E40="","",'TM-21 Inputs'!L44)</f>
        <v>0</v>
      </c>
      <c r="G40" s="10" t="e">
        <f t="shared" si="16"/>
        <v>#NUM!</v>
      </c>
      <c r="H40" s="13" t="e">
        <f t="shared" si="17"/>
        <v>#NUM!</v>
      </c>
      <c r="I40" s="17" t="e">
        <f t="shared" si="18"/>
        <v>#VALUE!</v>
      </c>
      <c r="J40" s="18" t="e">
        <f t="shared" si="19"/>
        <v>#VALUE!</v>
      </c>
    </row>
    <row r="41" spans="3:10" x14ac:dyDescent="0.3">
      <c r="C41" s="5" t="e">
        <f t="shared" si="6"/>
        <v>#VALUE!</v>
      </c>
      <c r="D41" s="5" t="e">
        <f t="shared" si="7"/>
        <v>#VALUE!</v>
      </c>
      <c r="E41" s="8" t="str">
        <f>IF(OR('TM-21 Inputs'!$I$19="",'TM-21 Inputs'!$I$21=""),"-",IF(OR('TM-21 Inputs'!K45="",'TM-21 Inputs'!L45=""),"",IF(OR(AND('TM-21 Inputs'!$I$19&gt;=5952,'TM-21 Inputs'!$I$19&lt;=10000,'TM-21 Inputs'!K45&gt;='TM-21 Inputs'!$I$19-5096),AND('TM-21 Inputs'!$I$19&gt;10000,OR('TM-21 Inputs'!K45&gt;=0.5*'TM-21 Inputs'!$I$19,'TM-21 Inputs'!K45=SMALL('TM-21 Inputs'!$K$10:$K$49,COUNTIF('TM-21 Inputs'!$K$10:$K$49,"&lt;"&amp;(0.5*'TM-21 Inputs'!$I$19)+1))))),'TM-21 Inputs'!K45,"")))</f>
        <v>-</v>
      </c>
      <c r="F41" s="3">
        <f>IF(E41="","",'TM-21 Inputs'!L45)</f>
        <v>0</v>
      </c>
      <c r="G41" s="10" t="e">
        <f t="shared" si="16"/>
        <v>#NUM!</v>
      </c>
      <c r="H41" s="13" t="e">
        <f t="shared" si="17"/>
        <v>#NUM!</v>
      </c>
      <c r="I41" s="17" t="e">
        <f t="shared" si="18"/>
        <v>#VALUE!</v>
      </c>
      <c r="J41" s="18" t="e">
        <f t="shared" si="19"/>
        <v>#VALUE!</v>
      </c>
    </row>
    <row r="42" spans="3:10" x14ac:dyDescent="0.3">
      <c r="C42" s="5" t="e">
        <f t="shared" si="6"/>
        <v>#VALUE!</v>
      </c>
      <c r="D42" s="5" t="e">
        <f t="shared" si="7"/>
        <v>#VALUE!</v>
      </c>
      <c r="E42" s="8" t="str">
        <f>IF(OR('TM-21 Inputs'!$I$19="",'TM-21 Inputs'!$I$21=""),"-",IF(OR('TM-21 Inputs'!K46="",'TM-21 Inputs'!L46=""),"",IF(OR(AND('TM-21 Inputs'!$I$19&gt;=5952,'TM-21 Inputs'!$I$19&lt;=10000,'TM-21 Inputs'!K46&gt;='TM-21 Inputs'!$I$19-5096),AND('TM-21 Inputs'!$I$19&gt;10000,OR('TM-21 Inputs'!K46&gt;=0.5*'TM-21 Inputs'!$I$19,'TM-21 Inputs'!K46=SMALL('TM-21 Inputs'!$K$10:$K$49,COUNTIF('TM-21 Inputs'!$K$10:$K$49,"&lt;"&amp;(0.5*'TM-21 Inputs'!$I$19)+1))))),'TM-21 Inputs'!K46,"")))</f>
        <v>-</v>
      </c>
      <c r="F42" s="3">
        <f>IF(E42="","",'TM-21 Inputs'!L46)</f>
        <v>0</v>
      </c>
      <c r="G42" s="10" t="e">
        <f t="shared" si="16"/>
        <v>#NUM!</v>
      </c>
      <c r="H42" s="13" t="e">
        <f t="shared" si="17"/>
        <v>#NUM!</v>
      </c>
      <c r="I42" s="17" t="e">
        <f t="shared" si="18"/>
        <v>#VALUE!</v>
      </c>
      <c r="J42" s="18" t="e">
        <f t="shared" si="19"/>
        <v>#VALUE!</v>
      </c>
    </row>
    <row r="43" spans="3:10" x14ac:dyDescent="0.3">
      <c r="C43" s="5" t="e">
        <f t="shared" si="6"/>
        <v>#VALUE!</v>
      </c>
      <c r="D43" s="5" t="e">
        <f t="shared" si="7"/>
        <v>#VALUE!</v>
      </c>
      <c r="E43" s="8" t="str">
        <f>IF(OR('TM-21 Inputs'!$I$19="",'TM-21 Inputs'!$I$21=""),"-",IF(OR('TM-21 Inputs'!K47="",'TM-21 Inputs'!L47=""),"",IF(OR(AND('TM-21 Inputs'!$I$19&gt;=5952,'TM-21 Inputs'!$I$19&lt;=10000,'TM-21 Inputs'!K47&gt;='TM-21 Inputs'!$I$19-5096),AND('TM-21 Inputs'!$I$19&gt;10000,OR('TM-21 Inputs'!K47&gt;=0.5*'TM-21 Inputs'!$I$19,'TM-21 Inputs'!K47=SMALL('TM-21 Inputs'!$K$10:$K$49,COUNTIF('TM-21 Inputs'!$K$10:$K$49,"&lt;"&amp;(0.5*'TM-21 Inputs'!$I$19)+1))))),'TM-21 Inputs'!K47,"")))</f>
        <v>-</v>
      </c>
      <c r="F43" s="3">
        <f>IF(E43="","",'TM-21 Inputs'!L47)</f>
        <v>0</v>
      </c>
      <c r="G43" s="10" t="e">
        <f t="shared" si="16"/>
        <v>#NUM!</v>
      </c>
      <c r="H43" s="13" t="e">
        <f t="shared" si="17"/>
        <v>#NUM!</v>
      </c>
      <c r="I43" s="17" t="e">
        <f t="shared" si="18"/>
        <v>#VALUE!</v>
      </c>
      <c r="J43" s="18" t="e">
        <f t="shared" si="19"/>
        <v>#VALUE!</v>
      </c>
    </row>
    <row r="44" spans="3:10" x14ac:dyDescent="0.3">
      <c r="C44" s="5" t="e">
        <f t="shared" si="6"/>
        <v>#VALUE!</v>
      </c>
      <c r="D44" s="5" t="e">
        <f t="shared" si="7"/>
        <v>#VALUE!</v>
      </c>
      <c r="E44" s="8" t="str">
        <f>IF(OR('TM-21 Inputs'!$I$19="",'TM-21 Inputs'!$I$21=""),"-",IF(OR('TM-21 Inputs'!K48="",'TM-21 Inputs'!L48=""),"",IF(OR(AND('TM-21 Inputs'!$I$19&gt;=5952,'TM-21 Inputs'!$I$19&lt;=10000,'TM-21 Inputs'!K48&gt;='TM-21 Inputs'!$I$19-5096),AND('TM-21 Inputs'!$I$19&gt;10000,OR('TM-21 Inputs'!K48&gt;=0.5*'TM-21 Inputs'!$I$19,'TM-21 Inputs'!K48=SMALL('TM-21 Inputs'!$K$10:$K$49,COUNTIF('TM-21 Inputs'!$K$10:$K$49,"&lt;"&amp;(0.5*'TM-21 Inputs'!$I$19)+1))))),'TM-21 Inputs'!K48,"")))</f>
        <v>-</v>
      </c>
      <c r="F44" s="3">
        <f>IF(E44="","",'TM-21 Inputs'!L48)</f>
        <v>0</v>
      </c>
      <c r="G44" s="10" t="e">
        <f t="shared" si="16"/>
        <v>#NUM!</v>
      </c>
      <c r="H44" s="13" t="e">
        <f t="shared" si="17"/>
        <v>#NUM!</v>
      </c>
      <c r="I44" s="17" t="e">
        <f t="shared" si="18"/>
        <v>#VALUE!</v>
      </c>
      <c r="J44" s="18" t="e">
        <f t="shared" si="19"/>
        <v>#VALUE!</v>
      </c>
    </row>
    <row r="45" spans="3:10" x14ac:dyDescent="0.3">
      <c r="C45" s="5" t="e">
        <f t="shared" si="6"/>
        <v>#VALUE!</v>
      </c>
      <c r="D45" s="5" t="e">
        <f t="shared" si="7"/>
        <v>#VALUE!</v>
      </c>
      <c r="E45" s="8" t="str">
        <f>IF(OR('TM-21 Inputs'!$I$19="",'TM-21 Inputs'!$I$21=""),"-",IF(OR('TM-21 Inputs'!K49="",'TM-21 Inputs'!L49=""),"",IF(OR(AND('TM-21 Inputs'!$I$19&gt;=5952,'TM-21 Inputs'!$I$19&lt;=10000,'TM-21 Inputs'!K49&gt;='TM-21 Inputs'!$I$19-5096),AND('TM-21 Inputs'!$I$19&gt;10000,OR('TM-21 Inputs'!K49&gt;=0.5*'TM-21 Inputs'!$I$19,'TM-21 Inputs'!K49=SMALL('TM-21 Inputs'!$K$10:$K$49,COUNTIF('TM-21 Inputs'!$K$10:$K$49,"&lt;"&amp;(0.5*'TM-21 Inputs'!$I$19)+1))))),'TM-21 Inputs'!K49,"")))</f>
        <v>-</v>
      </c>
      <c r="F45" s="3">
        <f>IF(E45="","",'TM-21 Inputs'!L49)</f>
        <v>0</v>
      </c>
      <c r="G45" s="10" t="e">
        <f t="shared" si="16"/>
        <v>#NUM!</v>
      </c>
      <c r="H45" s="13" t="e">
        <f t="shared" si="17"/>
        <v>#NUM!</v>
      </c>
      <c r="I45" s="17" t="e">
        <f t="shared" si="18"/>
        <v>#VALUE!</v>
      </c>
      <c r="J45" s="18" t="e">
        <f t="shared" si="19"/>
        <v>#VALUE!</v>
      </c>
    </row>
    <row r="46" spans="3:10" x14ac:dyDescent="0.3">
      <c r="C46" s="5" t="e">
        <f t="shared" si="6"/>
        <v>#VALUE!</v>
      </c>
      <c r="D46" s="5" t="e">
        <f t="shared" si="7"/>
        <v>#VALUE!</v>
      </c>
      <c r="E46" s="8" t="str">
        <f>IF(OR('TM-21 Inputs'!$I$19="",'TM-21 Inputs'!$I$21=""),"-",IF(OR('TM-21 Inputs'!K50="",'TM-21 Inputs'!L50=""),"",IF(OR(AND('TM-21 Inputs'!$I$19&gt;=5952,'TM-21 Inputs'!$I$19&lt;=10000,'TM-21 Inputs'!K50&gt;='TM-21 Inputs'!$I$19-5096),AND('TM-21 Inputs'!$I$19&gt;10000,OR('TM-21 Inputs'!K50&gt;=0.5*'TM-21 Inputs'!$I$19,'TM-21 Inputs'!K50=SMALL('TM-21 Inputs'!$K$10:$K$49,COUNTIF('TM-21 Inputs'!$K$10:$K$49,"&lt;"&amp;(0.5*'TM-21 Inputs'!$I$19)+1))))),'TM-21 Inputs'!K50,"")))</f>
        <v>-</v>
      </c>
      <c r="F46" s="3">
        <f>IF(E46="","",'TM-21 Inputs'!L50)</f>
        <v>0</v>
      </c>
      <c r="G46" s="10" t="e">
        <f t="shared" si="16"/>
        <v>#NUM!</v>
      </c>
      <c r="H46" s="13" t="e">
        <f t="shared" si="17"/>
        <v>#NUM!</v>
      </c>
      <c r="I46" s="17" t="e">
        <f t="shared" si="18"/>
        <v>#VALUE!</v>
      </c>
      <c r="J46" s="18" t="e">
        <f t="shared" si="19"/>
        <v>#VALUE!</v>
      </c>
    </row>
    <row r="47" spans="3:10" x14ac:dyDescent="0.3">
      <c r="C47" s="5" t="e">
        <f t="shared" si="6"/>
        <v>#VALUE!</v>
      </c>
      <c r="D47" s="5" t="e">
        <f t="shared" si="7"/>
        <v>#VALUE!</v>
      </c>
      <c r="E47" s="8" t="str">
        <f>IF(OR('TM-21 Inputs'!$I$19="",'TM-21 Inputs'!$I$21=""),"-",IF(OR('TM-21 Inputs'!K51="",'TM-21 Inputs'!L51=""),"",IF(OR(AND('TM-21 Inputs'!$I$19&gt;=5952,'TM-21 Inputs'!$I$19&lt;=10000,'TM-21 Inputs'!K51&gt;='TM-21 Inputs'!$I$19-5096),AND('TM-21 Inputs'!$I$19&gt;10000,OR('TM-21 Inputs'!K51&gt;=0.5*'TM-21 Inputs'!$I$19,'TM-21 Inputs'!K51=SMALL('TM-21 Inputs'!$K$10:$K$49,COUNTIF('TM-21 Inputs'!$K$10:$K$49,"&lt;"&amp;(0.5*'TM-21 Inputs'!$I$19)+1))))),'TM-21 Inputs'!K51,"")))</f>
        <v>-</v>
      </c>
      <c r="F47" s="3">
        <f>IF(E47="","",'TM-21 Inputs'!L51)</f>
        <v>0</v>
      </c>
      <c r="G47" s="10" t="e">
        <f t="shared" si="16"/>
        <v>#NUM!</v>
      </c>
      <c r="H47" s="13" t="e">
        <f t="shared" si="17"/>
        <v>#NUM!</v>
      </c>
      <c r="I47" s="17" t="e">
        <f t="shared" si="18"/>
        <v>#VALUE!</v>
      </c>
      <c r="J47" s="18" t="e">
        <f t="shared" si="19"/>
        <v>#VALUE!</v>
      </c>
    </row>
    <row r="48" spans="3:10" x14ac:dyDescent="0.3">
      <c r="C48" s="5" t="e">
        <f t="shared" si="6"/>
        <v>#VALUE!</v>
      </c>
      <c r="D48" s="5" t="e">
        <f t="shared" si="7"/>
        <v>#VALUE!</v>
      </c>
      <c r="E48" s="8" t="str">
        <f>IF(OR('TM-21 Inputs'!$I$19="",'TM-21 Inputs'!$I$21=""),"-",IF(OR('TM-21 Inputs'!K52="",'TM-21 Inputs'!L52=""),"",IF(OR(AND('TM-21 Inputs'!$I$19&gt;=5952,'TM-21 Inputs'!$I$19&lt;=10000,'TM-21 Inputs'!K52&gt;='TM-21 Inputs'!$I$19-5096),AND('TM-21 Inputs'!$I$19&gt;10000,OR('TM-21 Inputs'!K52&gt;=0.5*'TM-21 Inputs'!$I$19,'TM-21 Inputs'!K52=SMALL('TM-21 Inputs'!$K$10:$K$49,COUNTIF('TM-21 Inputs'!$K$10:$K$49,"&lt;"&amp;(0.5*'TM-21 Inputs'!$I$19)+1))))),'TM-21 Inputs'!K52,"")))</f>
        <v>-</v>
      </c>
      <c r="F48" s="3">
        <f>IF(E48="","",'TM-21 Inputs'!L52)</f>
        <v>0</v>
      </c>
      <c r="G48" s="10" t="e">
        <f t="shared" si="16"/>
        <v>#NUM!</v>
      </c>
      <c r="H48" s="13" t="e">
        <f t="shared" si="17"/>
        <v>#NUM!</v>
      </c>
      <c r="I48" s="17" t="e">
        <f t="shared" si="18"/>
        <v>#VALUE!</v>
      </c>
      <c r="J48" s="18" t="e">
        <f t="shared" si="19"/>
        <v>#VALUE!</v>
      </c>
    </row>
    <row r="49" spans="3:10" x14ac:dyDescent="0.3">
      <c r="C49" s="5" t="e">
        <f t="shared" si="6"/>
        <v>#VALUE!</v>
      </c>
      <c r="D49" s="5" t="e">
        <f t="shared" si="7"/>
        <v>#VALUE!</v>
      </c>
      <c r="E49" s="8" t="str">
        <f>IF(OR('TM-21 Inputs'!$I$19="",'TM-21 Inputs'!$I$21=""),"-",IF(OR('TM-21 Inputs'!K53="",'TM-21 Inputs'!L53=""),"",IF(OR(AND('TM-21 Inputs'!$I$19&gt;=5952,'TM-21 Inputs'!$I$19&lt;=10000,'TM-21 Inputs'!K53&gt;='TM-21 Inputs'!$I$19-5096),AND('TM-21 Inputs'!$I$19&gt;10000,OR('TM-21 Inputs'!K53&gt;=0.5*'TM-21 Inputs'!$I$19,'TM-21 Inputs'!K53=SMALL('TM-21 Inputs'!$K$10:$K$49,COUNTIF('TM-21 Inputs'!$K$10:$K$49,"&lt;"&amp;(0.5*'TM-21 Inputs'!$I$19)+1))))),'TM-21 Inputs'!K53,"")))</f>
        <v>-</v>
      </c>
      <c r="F49" s="3">
        <f>IF(E49="","",'TM-21 Inputs'!L53)</f>
        <v>0</v>
      </c>
      <c r="G49" s="10" t="e">
        <f t="shared" si="16"/>
        <v>#NUM!</v>
      </c>
      <c r="H49" s="13" t="e">
        <f t="shared" si="17"/>
        <v>#NUM!</v>
      </c>
      <c r="I49" s="17" t="e">
        <f t="shared" si="18"/>
        <v>#VALUE!</v>
      </c>
      <c r="J49" s="18" t="e">
        <f t="shared" si="19"/>
        <v>#VALUE!</v>
      </c>
    </row>
    <row r="50" spans="3:10" x14ac:dyDescent="0.3">
      <c r="C50" s="292"/>
      <c r="D50" s="292"/>
      <c r="E50" s="293"/>
      <c r="F50" s="294"/>
      <c r="G50" s="295"/>
      <c r="H50" s="296"/>
      <c r="I50" s="297"/>
      <c r="J50" s="298"/>
    </row>
    <row r="51" spans="3:10" x14ac:dyDescent="0.3">
      <c r="C51" s="292"/>
      <c r="D51" s="292"/>
      <c r="E51" s="293"/>
      <c r="F51" s="294"/>
      <c r="G51" s="295"/>
      <c r="H51" s="296"/>
      <c r="I51" s="297"/>
      <c r="J51" s="298"/>
    </row>
    <row r="52" spans="3:10" ht="15" thickBot="1" x14ac:dyDescent="0.35">
      <c r="C52" s="201" t="str">
        <f>IF(COUNTIFS(C6:C49,"&gt;96")=0,"PASS","FAIL")</f>
        <v>PASS</v>
      </c>
      <c r="D52" s="21" t="s">
        <v>8</v>
      </c>
      <c r="E52" s="22">
        <f>SUM(E6:E49)</f>
        <v>0</v>
      </c>
      <c r="F52" s="23">
        <f>SUM(F6:F49)</f>
        <v>0</v>
      </c>
      <c r="G52" s="24" t="e">
        <f>SUM(G6:G49)</f>
        <v>#NUM!</v>
      </c>
      <c r="H52" s="25" t="e">
        <f>SUM(H6:H49)</f>
        <v>#NUM!</v>
      </c>
      <c r="I52" s="26" t="e">
        <f>SUM(I6:I49)</f>
        <v>#VALUE!</v>
      </c>
      <c r="J52" s="27" t="e">
        <f>SUM(J6:J49)</f>
        <v>#VALUE!</v>
      </c>
    </row>
    <row r="53" spans="3:10" ht="15" thickBot="1" x14ac:dyDescent="0.35"/>
    <row r="54" spans="3:10" ht="15.6" x14ac:dyDescent="0.3">
      <c r="E54" s="289" t="s">
        <v>9</v>
      </c>
      <c r="F54" s="290"/>
    </row>
    <row r="55" spans="3:10" x14ac:dyDescent="0.3">
      <c r="E55" s="33" t="s">
        <v>15</v>
      </c>
      <c r="F55" s="34" t="e">
        <f>((COUNTIF(E6:E26,"&gt;"&amp;0)*H52-(E52*G52))/((COUNTIF(E6:E26,"&gt;"&amp;0)*I52)-(E52^2)))</f>
        <v>#NUM!</v>
      </c>
    </row>
    <row r="56" spans="3:10" x14ac:dyDescent="0.3">
      <c r="E56" s="35" t="s">
        <v>16</v>
      </c>
      <c r="F56" s="36" t="e">
        <f>(G52-(F55*E52))/COUNTIF(E6:E26,"&gt;"&amp;0)</f>
        <v>#NUM!</v>
      </c>
    </row>
    <row r="57" spans="3:10" x14ac:dyDescent="0.3">
      <c r="E57" s="37" t="s">
        <v>17</v>
      </c>
      <c r="F57" s="36" t="e">
        <f>-F55</f>
        <v>#NUM!</v>
      </c>
    </row>
    <row r="58" spans="3:10" x14ac:dyDescent="0.3">
      <c r="E58" s="35" t="s">
        <v>18</v>
      </c>
      <c r="F58" s="36" t="e">
        <f>EXP(F56)</f>
        <v>#NUM!</v>
      </c>
    </row>
    <row r="59" spans="3:10" ht="30" customHeight="1" x14ac:dyDescent="0.3">
      <c r="E59" s="38" t="str">
        <f>CONCATENATE("Calculated L",'TM-21 Inputs'!I35," (hrs):")</f>
        <v>Calculated L (hrs):</v>
      </c>
      <c r="F59" s="39" t="e">
        <f>ROUND((LN(F58/('TM-21 Inputs'!$I$35/100))/F57),-3)</f>
        <v>#NUM!</v>
      </c>
    </row>
    <row r="60" spans="3:10" ht="29.4" thickBot="1" x14ac:dyDescent="0.35">
      <c r="E60" s="40" t="str">
        <f>CONCATENATE("Reported L",'TM-21 Inputs'!I35," (hrs):")</f>
        <v>Reported L (hrs):</v>
      </c>
      <c r="F60" s="28" t="e">
        <f>IF(OR(AND('TM-21 Inputs'!$I$18&gt;=20,$F$59&lt;6*'TM-21 Inputs'!$I$19),AND('TM-21 Inputs'!$I$18&gt;=10,'TM-21 Inputs'!$I$18&lt;=19,$F$59&lt;5.5*'TM-21 Inputs'!$I$19)),ROUND(F59,-3),IF('TM-21 Inputs'!$I$18&gt;=20,CONCATENATE("&gt;",ROUND((6*'TM-21 Inputs'!$I$19),-3)),IF(AND('TM-21 Inputs'!$I$18&gt;=10,'TM-21 Inputs'!$I$18&lt;=19),CONCATENATE("&gt;",ROUND((5.5*'TM-21 Inputs'!$I$19),-3)),"error")))</f>
        <v>#NUM!</v>
      </c>
    </row>
  </sheetData>
  <mergeCells count="2">
    <mergeCell ref="E54:F54"/>
    <mergeCell ref="C4:J4"/>
  </mergeCells>
  <pageMargins left="0.7" right="0.7" top="0.75" bottom="0.75" header="0.3" footer="0.3"/>
  <pageSetup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C000"/>
  </sheetPr>
  <dimension ref="C3:J60"/>
  <sheetViews>
    <sheetView topLeftCell="A19" zoomScale="70" zoomScaleNormal="70" workbookViewId="0">
      <selection activeCell="Q53" sqref="Q53"/>
    </sheetView>
  </sheetViews>
  <sheetFormatPr defaultColWidth="9.109375" defaultRowHeight="14.4" x14ac:dyDescent="0.3"/>
  <cols>
    <col min="1" max="1" width="17" style="1" customWidth="1"/>
    <col min="2" max="2" width="9.109375" style="1"/>
    <col min="3" max="3" width="9.33203125" style="1" customWidth="1"/>
    <col min="4" max="4" width="9.44140625" style="1" customWidth="1"/>
    <col min="5" max="5" width="12.88671875" style="1" bestFit="1" customWidth="1"/>
    <col min="6" max="6" width="17.88671875" style="1" customWidth="1"/>
    <col min="7" max="7" width="27.5546875" style="1" customWidth="1"/>
    <col min="8" max="8" width="12.5546875" style="1" bestFit="1" customWidth="1"/>
    <col min="9" max="9" width="13.44140625" style="1" bestFit="1" customWidth="1"/>
    <col min="10" max="10" width="9.6640625" style="1" bestFit="1" customWidth="1"/>
    <col min="11" max="16384" width="9.109375" style="1"/>
  </cols>
  <sheetData>
    <row r="3" spans="3:10" ht="15" thickBot="1" x14ac:dyDescent="0.35"/>
    <row r="4" spans="3:10" ht="15" customHeight="1" x14ac:dyDescent="0.3">
      <c r="C4" s="289" t="str">
        <f>IF('TM-21 Inputs'!I22="","Insert Case Temperature 2",CONCATENATE("Test Data for ",'TM-21 Inputs'!I22,"⁰C Case Temperature"))</f>
        <v>Insert Case Temperature 2</v>
      </c>
      <c r="D4" s="291"/>
      <c r="E4" s="291"/>
      <c r="F4" s="291"/>
      <c r="G4" s="291"/>
      <c r="H4" s="291"/>
      <c r="I4" s="291"/>
      <c r="J4" s="290"/>
    </row>
    <row r="5" spans="3:10" ht="60" customHeight="1" x14ac:dyDescent="0.3">
      <c r="C5" s="200" t="s">
        <v>100</v>
      </c>
      <c r="D5" s="29" t="s">
        <v>99</v>
      </c>
      <c r="E5" s="30" t="s">
        <v>3</v>
      </c>
      <c r="F5" s="31" t="s">
        <v>4</v>
      </c>
      <c r="G5" s="31" t="s">
        <v>7</v>
      </c>
      <c r="H5" s="31" t="s">
        <v>5</v>
      </c>
      <c r="I5" s="31" t="s">
        <v>6</v>
      </c>
      <c r="J5" s="32" t="s">
        <v>1</v>
      </c>
    </row>
    <row r="6" spans="3:10" x14ac:dyDescent="0.3">
      <c r="C6" s="198" t="str">
        <f>"-"</f>
        <v>-</v>
      </c>
      <c r="D6" s="198" t="str">
        <f>"-"</f>
        <v>-</v>
      </c>
      <c r="E6" s="206" t="str">
        <f>IF(OR('TM-21 Inputs'!$I$19="",'TM-21 Inputs'!$I$21=""),"-",IF(OR('TM-21 Inputs'!N10="",'TM-21 Inputs'!L10=""),"",IF(OR(AND('TM-21 Inputs'!$I$19&gt;=5952,'TM-21 Inputs'!$I$19&lt;=10000,'TM-21 Inputs'!N10&gt;='TM-21 Inputs'!$I$19-5096),AND('TM-21 Inputs'!$I$19&gt;10000,OR('TM-21 Inputs'!N10&gt;=0.5*'TM-21 Inputs'!$I$19,'TM-21 Inputs'!N10=SMALL('TM-21 Inputs'!$N$10:$N$49,COUNTIF('TM-21 Inputs'!$N$10:$N$49,"&lt;"&amp;(0.5*'TM-21 Inputs'!$I$19)+1))))),'TM-21 Inputs'!N10,"")))</f>
        <v>-</v>
      </c>
      <c r="F6" s="2">
        <f>IF(E6="","",'TM-21 Inputs'!O10)</f>
        <v>0</v>
      </c>
      <c r="G6" s="9" t="e">
        <f>IF(E6="","",LN(F6))</f>
        <v>#NUM!</v>
      </c>
      <c r="H6" s="12" t="e">
        <f>IF(E6="","",(G6*E6))</f>
        <v>#NUM!</v>
      </c>
      <c r="I6" s="15" t="e">
        <f>IF(E6="","",E6^2)</f>
        <v>#VALUE!</v>
      </c>
      <c r="J6" s="16" t="e">
        <f>IF(E6="","",E6*G6)</f>
        <v>#VALUE!</v>
      </c>
    </row>
    <row r="7" spans="3:10" x14ac:dyDescent="0.3">
      <c r="C7" s="199" t="str">
        <f>"-"</f>
        <v>-</v>
      </c>
      <c r="D7" s="5" t="e">
        <f t="shared" ref="D7:D25" si="0">IF(OR(E6="",E7=""),"",E7-E6)</f>
        <v>#VALUE!</v>
      </c>
      <c r="E7" s="206" t="str">
        <f>IF(OR('TM-21 Inputs'!$I$19="",'TM-21 Inputs'!$I$21=""),"-",IF(OR('TM-21 Inputs'!N11="",'TM-21 Inputs'!L11=""),"",IF(OR(AND('TM-21 Inputs'!$I$19&gt;=5952,'TM-21 Inputs'!$I$19&lt;=10000,'TM-21 Inputs'!N11&gt;='TM-21 Inputs'!$I$19-5096),AND('TM-21 Inputs'!$I$19&gt;10000,OR('TM-21 Inputs'!N11&gt;=0.5*'TM-21 Inputs'!$I$19,'TM-21 Inputs'!N11=SMALL('TM-21 Inputs'!$N$10:$N$49,COUNTIF('TM-21 Inputs'!$N$10:$N$49,"&lt;"&amp;(0.5*'TM-21 Inputs'!$I$19)+1))))),'TM-21 Inputs'!N11,"")))</f>
        <v>-</v>
      </c>
      <c r="F7" s="3">
        <f>IF(E7="","",'TM-21 Inputs'!O11)</f>
        <v>0</v>
      </c>
      <c r="G7" s="10" t="e">
        <f t="shared" ref="G7:G25" si="1">IF(E7="","",LN(F7))</f>
        <v>#NUM!</v>
      </c>
      <c r="H7" s="13" t="e">
        <f t="shared" ref="H7:H25" si="2">IF(E7="","",(G7*E7))</f>
        <v>#NUM!</v>
      </c>
      <c r="I7" s="17" t="e">
        <f t="shared" ref="I7:I25" si="3">IF(E7="","",E7^2)</f>
        <v>#VALUE!</v>
      </c>
      <c r="J7" s="18" t="e">
        <f t="shared" ref="J7:J25" si="4">IF(E7="","",E7*G7)</f>
        <v>#VALUE!</v>
      </c>
    </row>
    <row r="8" spans="3:10" x14ac:dyDescent="0.3">
      <c r="C8" s="5" t="e">
        <f>IF(OR(D7="",D8=""),"",ABS(D8-D7))</f>
        <v>#VALUE!</v>
      </c>
      <c r="D8" s="5" t="e">
        <f t="shared" si="0"/>
        <v>#VALUE!</v>
      </c>
      <c r="E8" s="206" t="str">
        <f>IF(OR('TM-21 Inputs'!$I$19="",'TM-21 Inputs'!$I$21=""),"-",IF(OR('TM-21 Inputs'!N12="",'TM-21 Inputs'!L12=""),"",IF(OR(AND('TM-21 Inputs'!$I$19&gt;=5952,'TM-21 Inputs'!$I$19&lt;=10000,'TM-21 Inputs'!N12&gt;='TM-21 Inputs'!$I$19-5096),AND('TM-21 Inputs'!$I$19&gt;10000,OR('TM-21 Inputs'!N12&gt;=0.5*'TM-21 Inputs'!$I$19,'TM-21 Inputs'!N12=SMALL('TM-21 Inputs'!$N$10:$N$49,COUNTIF('TM-21 Inputs'!$N$10:$N$49,"&lt;"&amp;(0.5*'TM-21 Inputs'!$I$19)+1))))),'TM-21 Inputs'!N12,"")))</f>
        <v>-</v>
      </c>
      <c r="F8" s="3">
        <f>IF(E8="","",'TM-21 Inputs'!O12)</f>
        <v>0</v>
      </c>
      <c r="G8" s="10" t="e">
        <f t="shared" si="1"/>
        <v>#NUM!</v>
      </c>
      <c r="H8" s="13" t="e">
        <f t="shared" si="2"/>
        <v>#NUM!</v>
      </c>
      <c r="I8" s="17" t="e">
        <f t="shared" si="3"/>
        <v>#VALUE!</v>
      </c>
      <c r="J8" s="18" t="e">
        <f t="shared" si="4"/>
        <v>#VALUE!</v>
      </c>
    </row>
    <row r="9" spans="3:10" x14ac:dyDescent="0.3">
      <c r="C9" s="5" t="e">
        <f t="shared" ref="C9:C25" si="5">IF(OR(D8="",D9=""),"",ABS(D9-D8))</f>
        <v>#VALUE!</v>
      </c>
      <c r="D9" s="5" t="e">
        <f t="shared" si="0"/>
        <v>#VALUE!</v>
      </c>
      <c r="E9" s="206" t="str">
        <f>IF(OR('TM-21 Inputs'!$I$19="",'TM-21 Inputs'!$I$21=""),"-",IF(OR('TM-21 Inputs'!N13="",'TM-21 Inputs'!L13=""),"",IF(OR(AND('TM-21 Inputs'!$I$19&gt;=5952,'TM-21 Inputs'!$I$19&lt;=10000,'TM-21 Inputs'!N13&gt;='TM-21 Inputs'!$I$19-5096),AND('TM-21 Inputs'!$I$19&gt;10000,OR('TM-21 Inputs'!N13&gt;=0.5*'TM-21 Inputs'!$I$19,'TM-21 Inputs'!N13=SMALL('TM-21 Inputs'!$N$10:$N$49,COUNTIF('TM-21 Inputs'!$N$10:$N$49,"&lt;"&amp;(0.5*'TM-21 Inputs'!$I$19)+1))))),'TM-21 Inputs'!N13,"")))</f>
        <v>-</v>
      </c>
      <c r="F9" s="3">
        <f>IF(E9="","",'TM-21 Inputs'!O13)</f>
        <v>0</v>
      </c>
      <c r="G9" s="10" t="e">
        <f t="shared" si="1"/>
        <v>#NUM!</v>
      </c>
      <c r="H9" s="13" t="e">
        <f t="shared" si="2"/>
        <v>#NUM!</v>
      </c>
      <c r="I9" s="17" t="e">
        <f t="shared" si="3"/>
        <v>#VALUE!</v>
      </c>
      <c r="J9" s="18" t="e">
        <f t="shared" si="4"/>
        <v>#VALUE!</v>
      </c>
    </row>
    <row r="10" spans="3:10" x14ac:dyDescent="0.3">
      <c r="C10" s="5" t="e">
        <f t="shared" si="5"/>
        <v>#VALUE!</v>
      </c>
      <c r="D10" s="5" t="e">
        <f t="shared" si="0"/>
        <v>#VALUE!</v>
      </c>
      <c r="E10" s="206" t="str">
        <f>IF(OR('TM-21 Inputs'!$I$19="",'TM-21 Inputs'!$I$21=""),"-",IF(OR('TM-21 Inputs'!N14="",'TM-21 Inputs'!L14=""),"",IF(OR(AND('TM-21 Inputs'!$I$19&gt;=5952,'TM-21 Inputs'!$I$19&lt;=10000,'TM-21 Inputs'!N14&gt;='TM-21 Inputs'!$I$19-5096),AND('TM-21 Inputs'!$I$19&gt;10000,OR('TM-21 Inputs'!N14&gt;=0.5*'TM-21 Inputs'!$I$19,'TM-21 Inputs'!N14=SMALL('TM-21 Inputs'!$N$10:$N$49,COUNTIF('TM-21 Inputs'!$N$10:$N$49,"&lt;"&amp;(0.5*'TM-21 Inputs'!$I$19)+1))))),'TM-21 Inputs'!N14,"")))</f>
        <v>-</v>
      </c>
      <c r="F10" s="3">
        <f>IF(E10="","",'TM-21 Inputs'!O14)</f>
        <v>0</v>
      </c>
      <c r="G10" s="10" t="e">
        <f t="shared" si="1"/>
        <v>#NUM!</v>
      </c>
      <c r="H10" s="13" t="e">
        <f t="shared" si="2"/>
        <v>#NUM!</v>
      </c>
      <c r="I10" s="17" t="e">
        <f t="shared" si="3"/>
        <v>#VALUE!</v>
      </c>
      <c r="J10" s="18" t="e">
        <f t="shared" si="4"/>
        <v>#VALUE!</v>
      </c>
    </row>
    <row r="11" spans="3:10" x14ac:dyDescent="0.3">
      <c r="C11" s="5" t="e">
        <f t="shared" si="5"/>
        <v>#VALUE!</v>
      </c>
      <c r="D11" s="5" t="e">
        <f t="shared" si="0"/>
        <v>#VALUE!</v>
      </c>
      <c r="E11" s="206" t="str">
        <f>IF(OR('TM-21 Inputs'!$I$19="",'TM-21 Inputs'!$I$21=""),"-",IF(OR('TM-21 Inputs'!N15="",'TM-21 Inputs'!L15=""),"",IF(OR(AND('TM-21 Inputs'!$I$19&gt;=5952,'TM-21 Inputs'!$I$19&lt;=10000,'TM-21 Inputs'!N15&gt;='TM-21 Inputs'!$I$19-5096),AND('TM-21 Inputs'!$I$19&gt;10000,OR('TM-21 Inputs'!N15&gt;=0.5*'TM-21 Inputs'!$I$19,'TM-21 Inputs'!N15=SMALL('TM-21 Inputs'!$N$10:$N$49,COUNTIF('TM-21 Inputs'!$N$10:$N$49,"&lt;"&amp;(0.5*'TM-21 Inputs'!$I$19)+1))))),'TM-21 Inputs'!N15,"")))</f>
        <v>-</v>
      </c>
      <c r="F11" s="3">
        <f>IF(E11="","",'TM-21 Inputs'!O15)</f>
        <v>0</v>
      </c>
      <c r="G11" s="10" t="e">
        <f t="shared" si="1"/>
        <v>#NUM!</v>
      </c>
      <c r="H11" s="13" t="e">
        <f t="shared" si="2"/>
        <v>#NUM!</v>
      </c>
      <c r="I11" s="17" t="e">
        <f t="shared" si="3"/>
        <v>#VALUE!</v>
      </c>
      <c r="J11" s="18" t="e">
        <f t="shared" si="4"/>
        <v>#VALUE!</v>
      </c>
    </row>
    <row r="12" spans="3:10" x14ac:dyDescent="0.3">
      <c r="C12" s="5" t="e">
        <f t="shared" si="5"/>
        <v>#VALUE!</v>
      </c>
      <c r="D12" s="5" t="e">
        <f t="shared" si="0"/>
        <v>#VALUE!</v>
      </c>
      <c r="E12" s="206" t="str">
        <f>IF(OR('TM-21 Inputs'!$I$19="",'TM-21 Inputs'!$I$21=""),"-",IF(OR('TM-21 Inputs'!N16="",'TM-21 Inputs'!L16=""),"",IF(OR(AND('TM-21 Inputs'!$I$19&gt;=5952,'TM-21 Inputs'!$I$19&lt;=10000,'TM-21 Inputs'!N16&gt;='TM-21 Inputs'!$I$19-5096),AND('TM-21 Inputs'!$I$19&gt;10000,OR('TM-21 Inputs'!N16&gt;=0.5*'TM-21 Inputs'!$I$19,'TM-21 Inputs'!N16=SMALL('TM-21 Inputs'!$N$10:$N$49,COUNTIF('TM-21 Inputs'!$N$10:$N$49,"&lt;"&amp;(0.5*'TM-21 Inputs'!$I$19)+1))))),'TM-21 Inputs'!N16,"")))</f>
        <v>-</v>
      </c>
      <c r="F12" s="3">
        <f>IF(E12="","",'TM-21 Inputs'!O16)</f>
        <v>0</v>
      </c>
      <c r="G12" s="10" t="e">
        <f t="shared" si="1"/>
        <v>#NUM!</v>
      </c>
      <c r="H12" s="13" t="e">
        <f t="shared" si="2"/>
        <v>#NUM!</v>
      </c>
      <c r="I12" s="17" t="e">
        <f t="shared" si="3"/>
        <v>#VALUE!</v>
      </c>
      <c r="J12" s="18" t="e">
        <f t="shared" si="4"/>
        <v>#VALUE!</v>
      </c>
    </row>
    <row r="13" spans="3:10" x14ac:dyDescent="0.3">
      <c r="C13" s="5" t="e">
        <f t="shared" si="5"/>
        <v>#VALUE!</v>
      </c>
      <c r="D13" s="5" t="e">
        <f t="shared" si="0"/>
        <v>#VALUE!</v>
      </c>
      <c r="E13" s="206" t="str">
        <f>IF(OR('TM-21 Inputs'!$I$19="",'TM-21 Inputs'!$I$21=""),"-",IF(OR('TM-21 Inputs'!N17="",'TM-21 Inputs'!L17=""),"",IF(OR(AND('TM-21 Inputs'!$I$19&gt;=5952,'TM-21 Inputs'!$I$19&lt;=10000,'TM-21 Inputs'!N17&gt;='TM-21 Inputs'!$I$19-5096),AND('TM-21 Inputs'!$I$19&gt;10000,OR('TM-21 Inputs'!N17&gt;=0.5*'TM-21 Inputs'!$I$19,'TM-21 Inputs'!N17=SMALL('TM-21 Inputs'!$N$10:$N$49,COUNTIF('TM-21 Inputs'!$N$10:$N$49,"&lt;"&amp;(0.5*'TM-21 Inputs'!$I$19)+1))))),'TM-21 Inputs'!N17,"")))</f>
        <v>-</v>
      </c>
      <c r="F13" s="3">
        <f>IF(E13="","",'TM-21 Inputs'!O17)</f>
        <v>0</v>
      </c>
      <c r="G13" s="10" t="e">
        <f t="shared" si="1"/>
        <v>#NUM!</v>
      </c>
      <c r="H13" s="13" t="e">
        <f t="shared" si="2"/>
        <v>#NUM!</v>
      </c>
      <c r="I13" s="17" t="e">
        <f t="shared" si="3"/>
        <v>#VALUE!</v>
      </c>
      <c r="J13" s="18" t="e">
        <f t="shared" si="4"/>
        <v>#VALUE!</v>
      </c>
    </row>
    <row r="14" spans="3:10" x14ac:dyDescent="0.3">
      <c r="C14" s="5" t="e">
        <f t="shared" si="5"/>
        <v>#VALUE!</v>
      </c>
      <c r="D14" s="5" t="e">
        <f t="shared" si="0"/>
        <v>#VALUE!</v>
      </c>
      <c r="E14" s="206" t="str">
        <f>IF(OR('TM-21 Inputs'!$I$19="",'TM-21 Inputs'!$I$21=""),"-",IF(OR('TM-21 Inputs'!N18="",'TM-21 Inputs'!L18=""),"",IF(OR(AND('TM-21 Inputs'!$I$19&gt;=5952,'TM-21 Inputs'!$I$19&lt;=10000,'TM-21 Inputs'!N18&gt;='TM-21 Inputs'!$I$19-5096),AND('TM-21 Inputs'!$I$19&gt;10000,OR('TM-21 Inputs'!N18&gt;=0.5*'TM-21 Inputs'!$I$19,'TM-21 Inputs'!N18=SMALL('TM-21 Inputs'!$N$10:$N$49,COUNTIF('TM-21 Inputs'!$N$10:$N$49,"&lt;"&amp;(0.5*'TM-21 Inputs'!$I$19)+1))))),'TM-21 Inputs'!N18,"")))</f>
        <v>-</v>
      </c>
      <c r="F14" s="3">
        <f>IF(E14="","",'TM-21 Inputs'!O18)</f>
        <v>0</v>
      </c>
      <c r="G14" s="10" t="e">
        <f t="shared" si="1"/>
        <v>#NUM!</v>
      </c>
      <c r="H14" s="13" t="e">
        <f t="shared" si="2"/>
        <v>#NUM!</v>
      </c>
      <c r="I14" s="17" t="e">
        <f t="shared" si="3"/>
        <v>#VALUE!</v>
      </c>
      <c r="J14" s="18" t="e">
        <f t="shared" si="4"/>
        <v>#VALUE!</v>
      </c>
    </row>
    <row r="15" spans="3:10" x14ac:dyDescent="0.3">
      <c r="C15" s="5" t="e">
        <f t="shared" si="5"/>
        <v>#VALUE!</v>
      </c>
      <c r="D15" s="5" t="e">
        <f t="shared" si="0"/>
        <v>#VALUE!</v>
      </c>
      <c r="E15" s="206" t="str">
        <f>IF(OR('TM-21 Inputs'!$I$19="",'TM-21 Inputs'!$I$21=""),"-",IF(OR('TM-21 Inputs'!N19="",'TM-21 Inputs'!L19=""),"",IF(OR(AND('TM-21 Inputs'!$I$19&gt;=5952,'TM-21 Inputs'!$I$19&lt;=10000,'TM-21 Inputs'!N19&gt;='TM-21 Inputs'!$I$19-5096),AND('TM-21 Inputs'!$I$19&gt;10000,OR('TM-21 Inputs'!N19&gt;=0.5*'TM-21 Inputs'!$I$19,'TM-21 Inputs'!N19=SMALL('TM-21 Inputs'!$N$10:$N$49,COUNTIF('TM-21 Inputs'!$N$10:$N$49,"&lt;"&amp;(0.5*'TM-21 Inputs'!$I$19)+1))))),'TM-21 Inputs'!N19,"")))</f>
        <v>-</v>
      </c>
      <c r="F15" s="3">
        <f>IF(E15="","",'TM-21 Inputs'!O19)</f>
        <v>0</v>
      </c>
      <c r="G15" s="10" t="e">
        <f t="shared" si="1"/>
        <v>#NUM!</v>
      </c>
      <c r="H15" s="13" t="e">
        <f t="shared" si="2"/>
        <v>#NUM!</v>
      </c>
      <c r="I15" s="17" t="e">
        <f t="shared" si="3"/>
        <v>#VALUE!</v>
      </c>
      <c r="J15" s="18" t="e">
        <f t="shared" si="4"/>
        <v>#VALUE!</v>
      </c>
    </row>
    <row r="16" spans="3:10" x14ac:dyDescent="0.3">
      <c r="C16" s="5" t="e">
        <f t="shared" si="5"/>
        <v>#VALUE!</v>
      </c>
      <c r="D16" s="5" t="e">
        <f t="shared" si="0"/>
        <v>#VALUE!</v>
      </c>
      <c r="E16" s="206" t="str">
        <f>IF(OR('TM-21 Inputs'!$I$19="",'TM-21 Inputs'!$I$21=""),"-",IF(OR('TM-21 Inputs'!N20="",'TM-21 Inputs'!L20=""),"",IF(OR(AND('TM-21 Inputs'!$I$19&gt;=5952,'TM-21 Inputs'!$I$19&lt;=10000,'TM-21 Inputs'!N20&gt;='TM-21 Inputs'!$I$19-5096),AND('TM-21 Inputs'!$I$19&gt;10000,OR('TM-21 Inputs'!N20&gt;=0.5*'TM-21 Inputs'!$I$19,'TM-21 Inputs'!N20=SMALL('TM-21 Inputs'!$N$10:$N$49,COUNTIF('TM-21 Inputs'!$N$10:$N$49,"&lt;"&amp;(0.5*'TM-21 Inputs'!$I$19)+1))))),'TM-21 Inputs'!N20,"")))</f>
        <v>-</v>
      </c>
      <c r="F16" s="3">
        <f>IF(E16="","",'TM-21 Inputs'!O20)</f>
        <v>0</v>
      </c>
      <c r="G16" s="10" t="e">
        <f t="shared" si="1"/>
        <v>#NUM!</v>
      </c>
      <c r="H16" s="13" t="e">
        <f t="shared" si="2"/>
        <v>#NUM!</v>
      </c>
      <c r="I16" s="17" t="e">
        <f t="shared" si="3"/>
        <v>#VALUE!</v>
      </c>
      <c r="J16" s="18" t="e">
        <f t="shared" si="4"/>
        <v>#VALUE!</v>
      </c>
    </row>
    <row r="17" spans="3:10" x14ac:dyDescent="0.3">
      <c r="C17" s="5" t="e">
        <f t="shared" si="5"/>
        <v>#VALUE!</v>
      </c>
      <c r="D17" s="5" t="e">
        <f t="shared" si="0"/>
        <v>#VALUE!</v>
      </c>
      <c r="E17" s="206" t="str">
        <f>IF(OR('TM-21 Inputs'!$I$19="",'TM-21 Inputs'!$I$21=""),"-",IF(OR('TM-21 Inputs'!N21="",'TM-21 Inputs'!L21=""),"",IF(OR(AND('TM-21 Inputs'!$I$19&gt;=5952,'TM-21 Inputs'!$I$19&lt;=10000,'TM-21 Inputs'!N21&gt;='TM-21 Inputs'!$I$19-5096),AND('TM-21 Inputs'!$I$19&gt;10000,OR('TM-21 Inputs'!N21&gt;=0.5*'TM-21 Inputs'!$I$19,'TM-21 Inputs'!N21=SMALL('TM-21 Inputs'!$N$10:$N$49,COUNTIF('TM-21 Inputs'!$N$10:$N$49,"&lt;"&amp;(0.5*'TM-21 Inputs'!$I$19)+1))))),'TM-21 Inputs'!N21,"")))</f>
        <v>-</v>
      </c>
      <c r="F17" s="3">
        <f>IF(E17="","",'TM-21 Inputs'!O21)</f>
        <v>0</v>
      </c>
      <c r="G17" s="10" t="e">
        <f t="shared" si="1"/>
        <v>#NUM!</v>
      </c>
      <c r="H17" s="13" t="e">
        <f t="shared" si="2"/>
        <v>#NUM!</v>
      </c>
      <c r="I17" s="17" t="e">
        <f t="shared" si="3"/>
        <v>#VALUE!</v>
      </c>
      <c r="J17" s="18" t="e">
        <f t="shared" si="4"/>
        <v>#VALUE!</v>
      </c>
    </row>
    <row r="18" spans="3:10" x14ac:dyDescent="0.3">
      <c r="C18" s="5" t="e">
        <f t="shared" si="5"/>
        <v>#VALUE!</v>
      </c>
      <c r="D18" s="5" t="e">
        <f t="shared" si="0"/>
        <v>#VALUE!</v>
      </c>
      <c r="E18" s="206" t="str">
        <f>IF(OR('TM-21 Inputs'!$I$19="",'TM-21 Inputs'!$I$21=""),"-",IF(OR('TM-21 Inputs'!N22="",'TM-21 Inputs'!L22=""),"",IF(OR(AND('TM-21 Inputs'!$I$19&gt;=5952,'TM-21 Inputs'!$I$19&lt;=10000,'TM-21 Inputs'!N22&gt;='TM-21 Inputs'!$I$19-5096),AND('TM-21 Inputs'!$I$19&gt;10000,OR('TM-21 Inputs'!N22&gt;=0.5*'TM-21 Inputs'!$I$19,'TM-21 Inputs'!N22=SMALL('TM-21 Inputs'!$N$10:$N$49,COUNTIF('TM-21 Inputs'!$N$10:$N$49,"&lt;"&amp;(0.5*'TM-21 Inputs'!$I$19)+1))))),'TM-21 Inputs'!N22,"")))</f>
        <v>-</v>
      </c>
      <c r="F18" s="3">
        <f>IF(E18="","",'TM-21 Inputs'!O22)</f>
        <v>0</v>
      </c>
      <c r="G18" s="10" t="e">
        <f t="shared" si="1"/>
        <v>#NUM!</v>
      </c>
      <c r="H18" s="13" t="e">
        <f t="shared" si="2"/>
        <v>#NUM!</v>
      </c>
      <c r="I18" s="17" t="e">
        <f t="shared" si="3"/>
        <v>#VALUE!</v>
      </c>
      <c r="J18" s="18" t="e">
        <f t="shared" si="4"/>
        <v>#VALUE!</v>
      </c>
    </row>
    <row r="19" spans="3:10" x14ac:dyDescent="0.3">
      <c r="C19" s="5" t="e">
        <f t="shared" si="5"/>
        <v>#VALUE!</v>
      </c>
      <c r="D19" s="5" t="e">
        <f t="shared" si="0"/>
        <v>#VALUE!</v>
      </c>
      <c r="E19" s="206" t="str">
        <f>IF(OR('TM-21 Inputs'!$I$19="",'TM-21 Inputs'!$I$21=""),"-",IF(OR('TM-21 Inputs'!N23="",'TM-21 Inputs'!L23=""),"",IF(OR(AND('TM-21 Inputs'!$I$19&gt;=5952,'TM-21 Inputs'!$I$19&lt;=10000,'TM-21 Inputs'!N23&gt;='TM-21 Inputs'!$I$19-5096),AND('TM-21 Inputs'!$I$19&gt;10000,OR('TM-21 Inputs'!N23&gt;=0.5*'TM-21 Inputs'!$I$19,'TM-21 Inputs'!N23=SMALL('TM-21 Inputs'!$N$10:$N$49,COUNTIF('TM-21 Inputs'!$N$10:$N$49,"&lt;"&amp;(0.5*'TM-21 Inputs'!$I$19)+1))))),'TM-21 Inputs'!N23,"")))</f>
        <v>-</v>
      </c>
      <c r="F19" s="3">
        <f>IF(E19="","",'TM-21 Inputs'!O23)</f>
        <v>0</v>
      </c>
      <c r="G19" s="10" t="e">
        <f t="shared" si="1"/>
        <v>#NUM!</v>
      </c>
      <c r="H19" s="13" t="e">
        <f t="shared" si="2"/>
        <v>#NUM!</v>
      </c>
      <c r="I19" s="17" t="e">
        <f t="shared" si="3"/>
        <v>#VALUE!</v>
      </c>
      <c r="J19" s="18" t="e">
        <f t="shared" si="4"/>
        <v>#VALUE!</v>
      </c>
    </row>
    <row r="20" spans="3:10" x14ac:dyDescent="0.3">
      <c r="C20" s="5" t="e">
        <f t="shared" si="5"/>
        <v>#VALUE!</v>
      </c>
      <c r="D20" s="5" t="e">
        <f t="shared" si="0"/>
        <v>#VALUE!</v>
      </c>
      <c r="E20" s="206" t="str">
        <f>IF(OR('TM-21 Inputs'!$I$19="",'TM-21 Inputs'!$I$21=""),"-",IF(OR('TM-21 Inputs'!N24="",'TM-21 Inputs'!L24=""),"",IF(OR(AND('TM-21 Inputs'!$I$19&gt;=5952,'TM-21 Inputs'!$I$19&lt;=10000,'TM-21 Inputs'!N24&gt;='TM-21 Inputs'!$I$19-5096),AND('TM-21 Inputs'!$I$19&gt;10000,OR('TM-21 Inputs'!N24&gt;=0.5*'TM-21 Inputs'!$I$19,'TM-21 Inputs'!N24=SMALL('TM-21 Inputs'!$N$10:$N$49,COUNTIF('TM-21 Inputs'!$N$10:$N$49,"&lt;"&amp;(0.5*'TM-21 Inputs'!$I$19)+1))))),'TM-21 Inputs'!N24,"")))</f>
        <v>-</v>
      </c>
      <c r="F20" s="3">
        <f>IF(E20="","",'TM-21 Inputs'!O24)</f>
        <v>0</v>
      </c>
      <c r="G20" s="10" t="e">
        <f t="shared" si="1"/>
        <v>#NUM!</v>
      </c>
      <c r="H20" s="13" t="e">
        <f t="shared" si="2"/>
        <v>#NUM!</v>
      </c>
      <c r="I20" s="17" t="e">
        <f t="shared" si="3"/>
        <v>#VALUE!</v>
      </c>
      <c r="J20" s="18" t="e">
        <f t="shared" si="4"/>
        <v>#VALUE!</v>
      </c>
    </row>
    <row r="21" spans="3:10" x14ac:dyDescent="0.3">
      <c r="C21" s="5" t="e">
        <f t="shared" si="5"/>
        <v>#VALUE!</v>
      </c>
      <c r="D21" s="5" t="e">
        <f t="shared" si="0"/>
        <v>#VALUE!</v>
      </c>
      <c r="E21" s="206" t="str">
        <f>IF(OR('TM-21 Inputs'!$I$19="",'TM-21 Inputs'!$I$21=""),"-",IF(OR('TM-21 Inputs'!N25="",'TM-21 Inputs'!L25=""),"",IF(OR(AND('TM-21 Inputs'!$I$19&gt;=5952,'TM-21 Inputs'!$I$19&lt;=10000,'TM-21 Inputs'!N25&gt;='TM-21 Inputs'!$I$19-5096),AND('TM-21 Inputs'!$I$19&gt;10000,OR('TM-21 Inputs'!N25&gt;=0.5*'TM-21 Inputs'!$I$19,'TM-21 Inputs'!N25=SMALL('TM-21 Inputs'!$N$10:$N$49,COUNTIF('TM-21 Inputs'!$N$10:$N$49,"&lt;"&amp;(0.5*'TM-21 Inputs'!$I$19)+1))))),'TM-21 Inputs'!N25,"")))</f>
        <v>-</v>
      </c>
      <c r="F21" s="3">
        <f>IF(E21="","",'TM-21 Inputs'!O25)</f>
        <v>0</v>
      </c>
      <c r="G21" s="10" t="e">
        <f t="shared" si="1"/>
        <v>#NUM!</v>
      </c>
      <c r="H21" s="13" t="e">
        <f t="shared" si="2"/>
        <v>#NUM!</v>
      </c>
      <c r="I21" s="17" t="e">
        <f t="shared" si="3"/>
        <v>#VALUE!</v>
      </c>
      <c r="J21" s="18" t="e">
        <f t="shared" si="4"/>
        <v>#VALUE!</v>
      </c>
    </row>
    <row r="22" spans="3:10" x14ac:dyDescent="0.3">
      <c r="C22" s="5" t="e">
        <f t="shared" si="5"/>
        <v>#VALUE!</v>
      </c>
      <c r="D22" s="5" t="e">
        <f t="shared" si="0"/>
        <v>#VALUE!</v>
      </c>
      <c r="E22" s="206" t="str">
        <f>IF(OR('TM-21 Inputs'!$I$19="",'TM-21 Inputs'!$I$21=""),"-",IF(OR('TM-21 Inputs'!N26="",'TM-21 Inputs'!L26=""),"",IF(OR(AND('TM-21 Inputs'!$I$19&gt;=5952,'TM-21 Inputs'!$I$19&lt;=10000,'TM-21 Inputs'!N26&gt;='TM-21 Inputs'!$I$19-5096),AND('TM-21 Inputs'!$I$19&gt;10000,OR('TM-21 Inputs'!N26&gt;=0.5*'TM-21 Inputs'!$I$19,'TM-21 Inputs'!N26=SMALL('TM-21 Inputs'!$N$10:$N$49,COUNTIF('TM-21 Inputs'!$N$10:$N$49,"&lt;"&amp;(0.5*'TM-21 Inputs'!$I$19)+1))))),'TM-21 Inputs'!N26,"")))</f>
        <v>-</v>
      </c>
      <c r="F22" s="3">
        <f>IF(E22="","",'TM-21 Inputs'!O26)</f>
        <v>0</v>
      </c>
      <c r="G22" s="10" t="e">
        <f t="shared" si="1"/>
        <v>#NUM!</v>
      </c>
      <c r="H22" s="13" t="e">
        <f t="shared" si="2"/>
        <v>#NUM!</v>
      </c>
      <c r="I22" s="17" t="e">
        <f t="shared" si="3"/>
        <v>#VALUE!</v>
      </c>
      <c r="J22" s="18" t="e">
        <f t="shared" si="4"/>
        <v>#VALUE!</v>
      </c>
    </row>
    <row r="23" spans="3:10" x14ac:dyDescent="0.3">
      <c r="C23" s="5" t="e">
        <f t="shared" si="5"/>
        <v>#VALUE!</v>
      </c>
      <c r="D23" s="5" t="e">
        <f t="shared" si="0"/>
        <v>#VALUE!</v>
      </c>
      <c r="E23" s="206" t="str">
        <f>IF(OR('TM-21 Inputs'!$I$19="",'TM-21 Inputs'!$I$21=""),"-",IF(OR('TM-21 Inputs'!N27="",'TM-21 Inputs'!L27=""),"",IF(OR(AND('TM-21 Inputs'!$I$19&gt;=5952,'TM-21 Inputs'!$I$19&lt;=10000,'TM-21 Inputs'!N27&gt;='TM-21 Inputs'!$I$19-5096),AND('TM-21 Inputs'!$I$19&gt;10000,OR('TM-21 Inputs'!N27&gt;=0.5*'TM-21 Inputs'!$I$19,'TM-21 Inputs'!N27=SMALL('TM-21 Inputs'!$N$10:$N$49,COUNTIF('TM-21 Inputs'!$N$10:$N$49,"&lt;"&amp;(0.5*'TM-21 Inputs'!$I$19)+1))))),'TM-21 Inputs'!N27,"")))</f>
        <v>-</v>
      </c>
      <c r="F23" s="3">
        <f>IF(E23="","",'TM-21 Inputs'!O27)</f>
        <v>0</v>
      </c>
      <c r="G23" s="10" t="e">
        <f t="shared" si="1"/>
        <v>#NUM!</v>
      </c>
      <c r="H23" s="13" t="e">
        <f t="shared" si="2"/>
        <v>#NUM!</v>
      </c>
      <c r="I23" s="17" t="e">
        <f t="shared" si="3"/>
        <v>#VALUE!</v>
      </c>
      <c r="J23" s="18" t="e">
        <f t="shared" si="4"/>
        <v>#VALUE!</v>
      </c>
    </row>
    <row r="24" spans="3:10" x14ac:dyDescent="0.3">
      <c r="C24" s="5" t="e">
        <f t="shared" si="5"/>
        <v>#VALUE!</v>
      </c>
      <c r="D24" s="5" t="e">
        <f t="shared" si="0"/>
        <v>#VALUE!</v>
      </c>
      <c r="E24" s="206" t="str">
        <f>IF(OR('TM-21 Inputs'!$I$19="",'TM-21 Inputs'!$I$21=""),"-",IF(OR('TM-21 Inputs'!N28="",'TM-21 Inputs'!L28=""),"",IF(OR(AND('TM-21 Inputs'!$I$19&gt;=5952,'TM-21 Inputs'!$I$19&lt;=10000,'TM-21 Inputs'!N28&gt;='TM-21 Inputs'!$I$19-5096),AND('TM-21 Inputs'!$I$19&gt;10000,OR('TM-21 Inputs'!N28&gt;=0.5*'TM-21 Inputs'!$I$19,'TM-21 Inputs'!N28=SMALL('TM-21 Inputs'!$N$10:$N$49,COUNTIF('TM-21 Inputs'!$N$10:$N$49,"&lt;"&amp;(0.5*'TM-21 Inputs'!$I$19)+1))))),'TM-21 Inputs'!N28,"")))</f>
        <v>-</v>
      </c>
      <c r="F24" s="3">
        <f>IF(E24="","",'TM-21 Inputs'!O28)</f>
        <v>0</v>
      </c>
      <c r="G24" s="10" t="e">
        <f t="shared" si="1"/>
        <v>#NUM!</v>
      </c>
      <c r="H24" s="13" t="e">
        <f t="shared" si="2"/>
        <v>#NUM!</v>
      </c>
      <c r="I24" s="17" t="e">
        <f t="shared" si="3"/>
        <v>#VALUE!</v>
      </c>
      <c r="J24" s="18" t="e">
        <f t="shared" si="4"/>
        <v>#VALUE!</v>
      </c>
    </row>
    <row r="25" spans="3:10" x14ac:dyDescent="0.3">
      <c r="C25" s="6" t="e">
        <f t="shared" si="5"/>
        <v>#VALUE!</v>
      </c>
      <c r="D25" s="6" t="e">
        <f t="shared" si="0"/>
        <v>#VALUE!</v>
      </c>
      <c r="E25" s="206" t="str">
        <f>IF(OR('TM-21 Inputs'!$I$19="",'TM-21 Inputs'!$I$21=""),"-",IF(OR('TM-21 Inputs'!N29="",'TM-21 Inputs'!L29=""),"",IF(OR(AND('TM-21 Inputs'!$I$19&gt;=5952,'TM-21 Inputs'!$I$19&lt;=10000,'TM-21 Inputs'!N29&gt;='TM-21 Inputs'!$I$19-5096),AND('TM-21 Inputs'!$I$19&gt;10000,OR('TM-21 Inputs'!N29&gt;=0.5*'TM-21 Inputs'!$I$19,'TM-21 Inputs'!N29=SMALL('TM-21 Inputs'!$N$10:$N$49,COUNTIF('TM-21 Inputs'!$N$10:$N$49,"&lt;"&amp;(0.5*'TM-21 Inputs'!$I$19)+1))))),'TM-21 Inputs'!N29,"")))</f>
        <v>-</v>
      </c>
      <c r="F25" s="4">
        <f>IF(E25="","",'TM-21 Inputs'!O29)</f>
        <v>0</v>
      </c>
      <c r="G25" s="11" t="e">
        <f t="shared" si="1"/>
        <v>#NUM!</v>
      </c>
      <c r="H25" s="14" t="e">
        <f t="shared" si="2"/>
        <v>#NUM!</v>
      </c>
      <c r="I25" s="19" t="e">
        <f t="shared" si="3"/>
        <v>#VALUE!</v>
      </c>
      <c r="J25" s="20" t="e">
        <f t="shared" si="4"/>
        <v>#VALUE!</v>
      </c>
    </row>
    <row r="26" spans="3:10" x14ac:dyDescent="0.3">
      <c r="C26" s="6" t="e">
        <f t="shared" ref="C26:C49" si="6">IF(OR(D25="",D26=""),"",ABS(D26-D25))</f>
        <v>#VALUE!</v>
      </c>
      <c r="D26" s="6" t="e">
        <f t="shared" ref="D26:D49" si="7">IF(OR(E25="",E26=""),"",E26-E25)</f>
        <v>#VALUE!</v>
      </c>
      <c r="E26" s="206" t="str">
        <f>IF(OR('TM-21 Inputs'!$I$19="",'TM-21 Inputs'!$I$21=""),"-",IF(OR('TM-21 Inputs'!N30="",'TM-21 Inputs'!L30=""),"",IF(OR(AND('TM-21 Inputs'!$I$19&gt;=5952,'TM-21 Inputs'!$I$19&lt;=10000,'TM-21 Inputs'!N30&gt;='TM-21 Inputs'!$I$19-5096),AND('TM-21 Inputs'!$I$19&gt;10000,OR('TM-21 Inputs'!N30&gt;=0.5*'TM-21 Inputs'!$I$19,'TM-21 Inputs'!N30=SMALL('TM-21 Inputs'!$N$10:$N$49,COUNTIF('TM-21 Inputs'!$N$10:$N$49,"&lt;"&amp;(0.5*'TM-21 Inputs'!$I$19)+1))))),'TM-21 Inputs'!N30,"")))</f>
        <v>-</v>
      </c>
      <c r="F26" s="4">
        <f>IF(E26="","",'TM-21 Inputs'!O30)</f>
        <v>0</v>
      </c>
      <c r="G26" s="11" t="e">
        <f t="shared" ref="G26:G49" si="8">IF(E26="","",LN(F26))</f>
        <v>#NUM!</v>
      </c>
      <c r="H26" s="14" t="e">
        <f t="shared" ref="H26:H49" si="9">IF(E26="","",(G26*E26))</f>
        <v>#NUM!</v>
      </c>
      <c r="I26" s="19" t="e">
        <f t="shared" ref="I26:I49" si="10">IF(E26="","",E26^2)</f>
        <v>#VALUE!</v>
      </c>
      <c r="J26" s="20" t="e">
        <f t="shared" ref="J26:J49" si="11">IF(E26="","",E26*G26)</f>
        <v>#VALUE!</v>
      </c>
    </row>
    <row r="27" spans="3:10" x14ac:dyDescent="0.3">
      <c r="C27" s="6" t="e">
        <f t="shared" si="6"/>
        <v>#VALUE!</v>
      </c>
      <c r="D27" s="6" t="e">
        <f t="shared" si="7"/>
        <v>#VALUE!</v>
      </c>
      <c r="E27" s="206" t="str">
        <f>IF(OR('TM-21 Inputs'!$I$19="",'TM-21 Inputs'!$I$21=""),"-",IF(OR('TM-21 Inputs'!N31="",'TM-21 Inputs'!L31=""),"",IF(OR(AND('TM-21 Inputs'!$I$19&gt;=5952,'TM-21 Inputs'!$I$19&lt;=10000,'TM-21 Inputs'!N31&gt;='TM-21 Inputs'!$I$19-5096),AND('TM-21 Inputs'!$I$19&gt;10000,OR('TM-21 Inputs'!N31&gt;=0.5*'TM-21 Inputs'!$I$19,'TM-21 Inputs'!N31=SMALL('TM-21 Inputs'!$N$10:$N$49,COUNTIF('TM-21 Inputs'!$N$10:$N$49,"&lt;"&amp;(0.5*'TM-21 Inputs'!$I$19)+1))))),'TM-21 Inputs'!N31,"")))</f>
        <v>-</v>
      </c>
      <c r="F27" s="4">
        <f>IF(E27="","",'TM-21 Inputs'!O31)</f>
        <v>0</v>
      </c>
      <c r="G27" s="11" t="e">
        <f t="shared" si="8"/>
        <v>#NUM!</v>
      </c>
      <c r="H27" s="14" t="e">
        <f t="shared" si="9"/>
        <v>#NUM!</v>
      </c>
      <c r="I27" s="19" t="e">
        <f t="shared" si="10"/>
        <v>#VALUE!</v>
      </c>
      <c r="J27" s="20" t="e">
        <f t="shared" si="11"/>
        <v>#VALUE!</v>
      </c>
    </row>
    <row r="28" spans="3:10" x14ac:dyDescent="0.3">
      <c r="C28" s="6" t="e">
        <f t="shared" si="6"/>
        <v>#VALUE!</v>
      </c>
      <c r="D28" s="6" t="e">
        <f t="shared" si="7"/>
        <v>#VALUE!</v>
      </c>
      <c r="E28" s="206" t="str">
        <f>IF(OR('TM-21 Inputs'!$I$19="",'TM-21 Inputs'!$I$21=""),"-",IF(OR('TM-21 Inputs'!N32="",'TM-21 Inputs'!L32=""),"",IF(OR(AND('TM-21 Inputs'!$I$19&gt;=5952,'TM-21 Inputs'!$I$19&lt;=10000,'TM-21 Inputs'!N32&gt;='TM-21 Inputs'!$I$19-5096),AND('TM-21 Inputs'!$I$19&gt;10000,OR('TM-21 Inputs'!N32&gt;=0.5*'TM-21 Inputs'!$I$19,'TM-21 Inputs'!N32=SMALL('TM-21 Inputs'!$N$10:$N$49,COUNTIF('TM-21 Inputs'!$N$10:$N$49,"&lt;"&amp;(0.5*'TM-21 Inputs'!$I$19)+1))))),'TM-21 Inputs'!N32,"")))</f>
        <v>-</v>
      </c>
      <c r="F28" s="4">
        <f>IF(E28="","",'TM-21 Inputs'!O32)</f>
        <v>0</v>
      </c>
      <c r="G28" s="11" t="e">
        <f t="shared" si="8"/>
        <v>#NUM!</v>
      </c>
      <c r="H28" s="14" t="e">
        <f t="shared" si="9"/>
        <v>#NUM!</v>
      </c>
      <c r="I28" s="19" t="e">
        <f t="shared" si="10"/>
        <v>#VALUE!</v>
      </c>
      <c r="J28" s="20" t="e">
        <f t="shared" si="11"/>
        <v>#VALUE!</v>
      </c>
    </row>
    <row r="29" spans="3:10" x14ac:dyDescent="0.3">
      <c r="C29" s="6" t="e">
        <f t="shared" si="6"/>
        <v>#VALUE!</v>
      </c>
      <c r="D29" s="6" t="e">
        <f t="shared" si="7"/>
        <v>#VALUE!</v>
      </c>
      <c r="E29" s="206" t="str">
        <f>IF(OR('TM-21 Inputs'!$I$19="",'TM-21 Inputs'!$I$21=""),"-",IF(OR('TM-21 Inputs'!N33="",'TM-21 Inputs'!L33=""),"",IF(OR(AND('TM-21 Inputs'!$I$19&gt;=5952,'TM-21 Inputs'!$I$19&lt;=10000,'TM-21 Inputs'!N33&gt;='TM-21 Inputs'!$I$19-5096),AND('TM-21 Inputs'!$I$19&gt;10000,OR('TM-21 Inputs'!N33&gt;=0.5*'TM-21 Inputs'!$I$19,'TM-21 Inputs'!N33=SMALL('TM-21 Inputs'!$N$10:$N$49,COUNTIF('TM-21 Inputs'!$N$10:$N$49,"&lt;"&amp;(0.5*'TM-21 Inputs'!$I$19)+1))))),'TM-21 Inputs'!N33,"")))</f>
        <v>-</v>
      </c>
      <c r="F29" s="4">
        <f>IF(E29="","",'TM-21 Inputs'!O33)</f>
        <v>0</v>
      </c>
      <c r="G29" s="11" t="e">
        <f t="shared" si="8"/>
        <v>#NUM!</v>
      </c>
      <c r="H29" s="14" t="e">
        <f t="shared" si="9"/>
        <v>#NUM!</v>
      </c>
      <c r="I29" s="19" t="e">
        <f t="shared" si="10"/>
        <v>#VALUE!</v>
      </c>
      <c r="J29" s="20" t="e">
        <f t="shared" si="11"/>
        <v>#VALUE!</v>
      </c>
    </row>
    <row r="30" spans="3:10" x14ac:dyDescent="0.3">
      <c r="C30" s="6" t="e">
        <f t="shared" si="6"/>
        <v>#VALUE!</v>
      </c>
      <c r="D30" s="6" t="e">
        <f t="shared" si="7"/>
        <v>#VALUE!</v>
      </c>
      <c r="E30" s="206" t="str">
        <f>IF(OR('TM-21 Inputs'!$I$19="",'TM-21 Inputs'!$I$21=""),"-",IF(OR('TM-21 Inputs'!N34="",'TM-21 Inputs'!L34=""),"",IF(OR(AND('TM-21 Inputs'!$I$19&gt;=5952,'TM-21 Inputs'!$I$19&lt;=10000,'TM-21 Inputs'!N34&gt;='TM-21 Inputs'!$I$19-5096),AND('TM-21 Inputs'!$I$19&gt;10000,OR('TM-21 Inputs'!N34&gt;=0.5*'TM-21 Inputs'!$I$19,'TM-21 Inputs'!N34=SMALL('TM-21 Inputs'!$N$10:$N$49,COUNTIF('TM-21 Inputs'!$N$10:$N$49,"&lt;"&amp;(0.5*'TM-21 Inputs'!$I$19)+1))))),'TM-21 Inputs'!N34,"")))</f>
        <v>-</v>
      </c>
      <c r="F30" s="4">
        <f>IF(E30="","",'TM-21 Inputs'!O34)</f>
        <v>0</v>
      </c>
      <c r="G30" s="11" t="e">
        <f t="shared" si="8"/>
        <v>#NUM!</v>
      </c>
      <c r="H30" s="14" t="e">
        <f t="shared" si="9"/>
        <v>#NUM!</v>
      </c>
      <c r="I30" s="19" t="e">
        <f t="shared" si="10"/>
        <v>#VALUE!</v>
      </c>
      <c r="J30" s="20" t="e">
        <f t="shared" si="11"/>
        <v>#VALUE!</v>
      </c>
    </row>
    <row r="31" spans="3:10" x14ac:dyDescent="0.3">
      <c r="C31" s="6" t="e">
        <f t="shared" si="6"/>
        <v>#VALUE!</v>
      </c>
      <c r="D31" s="6" t="e">
        <f t="shared" si="7"/>
        <v>#VALUE!</v>
      </c>
      <c r="E31" s="206" t="str">
        <f>IF(OR('TM-21 Inputs'!$I$19="",'TM-21 Inputs'!$I$21=""),"-",IF(OR('TM-21 Inputs'!N35="",'TM-21 Inputs'!L35=""),"",IF(OR(AND('TM-21 Inputs'!$I$19&gt;=5952,'TM-21 Inputs'!$I$19&lt;=10000,'TM-21 Inputs'!N35&gt;='TM-21 Inputs'!$I$19-5096),AND('TM-21 Inputs'!$I$19&gt;10000,OR('TM-21 Inputs'!N35&gt;=0.5*'TM-21 Inputs'!$I$19,'TM-21 Inputs'!N35=SMALL('TM-21 Inputs'!$N$10:$N$49,COUNTIF('TM-21 Inputs'!$N$10:$N$49,"&lt;"&amp;(0.5*'TM-21 Inputs'!$I$19)+1))))),'TM-21 Inputs'!N35,"")))</f>
        <v>-</v>
      </c>
      <c r="F31" s="4">
        <f>IF(E31="","",'TM-21 Inputs'!O35)</f>
        <v>0</v>
      </c>
      <c r="G31" s="11" t="e">
        <f t="shared" si="8"/>
        <v>#NUM!</v>
      </c>
      <c r="H31" s="14" t="e">
        <f t="shared" si="9"/>
        <v>#NUM!</v>
      </c>
      <c r="I31" s="19" t="e">
        <f t="shared" si="10"/>
        <v>#VALUE!</v>
      </c>
      <c r="J31" s="20" t="e">
        <f t="shared" si="11"/>
        <v>#VALUE!</v>
      </c>
    </row>
    <row r="32" spans="3:10" x14ac:dyDescent="0.3">
      <c r="C32" s="6" t="e">
        <f t="shared" si="6"/>
        <v>#VALUE!</v>
      </c>
      <c r="D32" s="6" t="e">
        <f t="shared" si="7"/>
        <v>#VALUE!</v>
      </c>
      <c r="E32" s="206" t="str">
        <f>IF(OR('TM-21 Inputs'!$I$19="",'TM-21 Inputs'!$I$21=""),"-",IF(OR('TM-21 Inputs'!N36="",'TM-21 Inputs'!L36=""),"",IF(OR(AND('TM-21 Inputs'!$I$19&gt;=5952,'TM-21 Inputs'!$I$19&lt;=10000,'TM-21 Inputs'!N36&gt;='TM-21 Inputs'!$I$19-5096),AND('TM-21 Inputs'!$I$19&gt;10000,OR('TM-21 Inputs'!N36&gt;=0.5*'TM-21 Inputs'!$I$19,'TM-21 Inputs'!N36=SMALL('TM-21 Inputs'!$N$10:$N$49,COUNTIF('TM-21 Inputs'!$N$10:$N$49,"&lt;"&amp;(0.5*'TM-21 Inputs'!$I$19)+1))))),'TM-21 Inputs'!N36,"")))</f>
        <v>-</v>
      </c>
      <c r="F32" s="4">
        <f>IF(E32="","",'TM-21 Inputs'!O36)</f>
        <v>0</v>
      </c>
      <c r="G32" s="11" t="e">
        <f t="shared" si="8"/>
        <v>#NUM!</v>
      </c>
      <c r="H32" s="14" t="e">
        <f t="shared" si="9"/>
        <v>#NUM!</v>
      </c>
      <c r="I32" s="19" t="e">
        <f t="shared" si="10"/>
        <v>#VALUE!</v>
      </c>
      <c r="J32" s="20" t="e">
        <f t="shared" si="11"/>
        <v>#VALUE!</v>
      </c>
    </row>
    <row r="33" spans="3:10" x14ac:dyDescent="0.3">
      <c r="C33" s="6" t="e">
        <f t="shared" si="6"/>
        <v>#VALUE!</v>
      </c>
      <c r="D33" s="6" t="e">
        <f t="shared" si="7"/>
        <v>#VALUE!</v>
      </c>
      <c r="E33" s="206" t="str">
        <f>IF(OR('TM-21 Inputs'!$I$19="",'TM-21 Inputs'!$I$21=""),"-",IF(OR('TM-21 Inputs'!N37="",'TM-21 Inputs'!L37=""),"",IF(OR(AND('TM-21 Inputs'!$I$19&gt;=5952,'TM-21 Inputs'!$I$19&lt;=10000,'TM-21 Inputs'!N37&gt;='TM-21 Inputs'!$I$19-5096),AND('TM-21 Inputs'!$I$19&gt;10000,OR('TM-21 Inputs'!N37&gt;=0.5*'TM-21 Inputs'!$I$19,'TM-21 Inputs'!N37=SMALL('TM-21 Inputs'!$N$10:$N$49,COUNTIF('TM-21 Inputs'!$N$10:$N$49,"&lt;"&amp;(0.5*'TM-21 Inputs'!$I$19)+1))))),'TM-21 Inputs'!N37,"")))</f>
        <v>-</v>
      </c>
      <c r="F33" s="4">
        <f>IF(E33="","",'TM-21 Inputs'!O37)</f>
        <v>0</v>
      </c>
      <c r="G33" s="11" t="e">
        <f t="shared" si="8"/>
        <v>#NUM!</v>
      </c>
      <c r="H33" s="14" t="e">
        <f t="shared" si="9"/>
        <v>#NUM!</v>
      </c>
      <c r="I33" s="19" t="e">
        <f t="shared" si="10"/>
        <v>#VALUE!</v>
      </c>
      <c r="J33" s="20" t="e">
        <f t="shared" si="11"/>
        <v>#VALUE!</v>
      </c>
    </row>
    <row r="34" spans="3:10" x14ac:dyDescent="0.3">
      <c r="C34" s="6" t="e">
        <f t="shared" si="6"/>
        <v>#VALUE!</v>
      </c>
      <c r="D34" s="6" t="e">
        <f t="shared" si="7"/>
        <v>#VALUE!</v>
      </c>
      <c r="E34" s="206" t="str">
        <f>IF(OR('TM-21 Inputs'!$I$19="",'TM-21 Inputs'!$I$21=""),"-",IF(OR('TM-21 Inputs'!N38="",'TM-21 Inputs'!L38=""),"",IF(OR(AND('TM-21 Inputs'!$I$19&gt;=5952,'TM-21 Inputs'!$I$19&lt;=10000,'TM-21 Inputs'!N38&gt;='TM-21 Inputs'!$I$19-5096),AND('TM-21 Inputs'!$I$19&gt;10000,OR('TM-21 Inputs'!N38&gt;=0.5*'TM-21 Inputs'!$I$19,'TM-21 Inputs'!N38=SMALL('TM-21 Inputs'!$N$10:$N$49,COUNTIF('TM-21 Inputs'!$N$10:$N$49,"&lt;"&amp;(0.5*'TM-21 Inputs'!$I$19)+1))))),'TM-21 Inputs'!N38,"")))</f>
        <v>-</v>
      </c>
      <c r="F34" s="4">
        <f>IF(E34="","",'TM-21 Inputs'!O38)</f>
        <v>0</v>
      </c>
      <c r="G34" s="11" t="e">
        <f t="shared" si="8"/>
        <v>#NUM!</v>
      </c>
      <c r="H34" s="14" t="e">
        <f t="shared" si="9"/>
        <v>#NUM!</v>
      </c>
      <c r="I34" s="19" t="e">
        <f t="shared" si="10"/>
        <v>#VALUE!</v>
      </c>
      <c r="J34" s="20" t="e">
        <f t="shared" si="11"/>
        <v>#VALUE!</v>
      </c>
    </row>
    <row r="35" spans="3:10" x14ac:dyDescent="0.3">
      <c r="C35" s="6" t="e">
        <f t="shared" si="6"/>
        <v>#VALUE!</v>
      </c>
      <c r="D35" s="6" t="e">
        <f t="shared" si="7"/>
        <v>#VALUE!</v>
      </c>
      <c r="E35" s="206" t="str">
        <f>IF(OR('TM-21 Inputs'!$I$19="",'TM-21 Inputs'!$I$21=""),"-",IF(OR('TM-21 Inputs'!N39="",'TM-21 Inputs'!L39=""),"",IF(OR(AND('TM-21 Inputs'!$I$19&gt;=5952,'TM-21 Inputs'!$I$19&lt;=10000,'TM-21 Inputs'!N39&gt;='TM-21 Inputs'!$I$19-5096),AND('TM-21 Inputs'!$I$19&gt;10000,OR('TM-21 Inputs'!N39&gt;=0.5*'TM-21 Inputs'!$I$19,'TM-21 Inputs'!N39=SMALL('TM-21 Inputs'!$N$10:$N$49,COUNTIF('TM-21 Inputs'!$N$10:$N$49,"&lt;"&amp;(0.5*'TM-21 Inputs'!$I$19)+1))))),'TM-21 Inputs'!N39,"")))</f>
        <v>-</v>
      </c>
      <c r="F35" s="4">
        <f>IF(E35="","",'TM-21 Inputs'!O39)</f>
        <v>0</v>
      </c>
      <c r="G35" s="11" t="e">
        <f t="shared" si="8"/>
        <v>#NUM!</v>
      </c>
      <c r="H35" s="14" t="e">
        <f t="shared" si="9"/>
        <v>#NUM!</v>
      </c>
      <c r="I35" s="19" t="e">
        <f t="shared" si="10"/>
        <v>#VALUE!</v>
      </c>
      <c r="J35" s="20" t="e">
        <f t="shared" si="11"/>
        <v>#VALUE!</v>
      </c>
    </row>
    <row r="36" spans="3:10" x14ac:dyDescent="0.3">
      <c r="C36" s="6" t="e">
        <f t="shared" si="6"/>
        <v>#VALUE!</v>
      </c>
      <c r="D36" s="6" t="e">
        <f t="shared" si="7"/>
        <v>#VALUE!</v>
      </c>
      <c r="E36" s="206" t="str">
        <f>IF(OR('TM-21 Inputs'!$I$19="",'TM-21 Inputs'!$I$21=""),"-",IF(OR('TM-21 Inputs'!N40="",'TM-21 Inputs'!L40=""),"",IF(OR(AND('TM-21 Inputs'!$I$19&gt;=5952,'TM-21 Inputs'!$I$19&lt;=10000,'TM-21 Inputs'!N40&gt;='TM-21 Inputs'!$I$19-5096),AND('TM-21 Inputs'!$I$19&gt;10000,OR('TM-21 Inputs'!N40&gt;=0.5*'TM-21 Inputs'!$I$19,'TM-21 Inputs'!N40=SMALL('TM-21 Inputs'!$N$10:$N$49,COUNTIF('TM-21 Inputs'!$N$10:$N$49,"&lt;"&amp;(0.5*'TM-21 Inputs'!$I$19)+1))))),'TM-21 Inputs'!N40,"")))</f>
        <v>-</v>
      </c>
      <c r="F36" s="4">
        <f>IF(E36="","",'TM-21 Inputs'!O40)</f>
        <v>0</v>
      </c>
      <c r="G36" s="11" t="e">
        <f t="shared" si="8"/>
        <v>#NUM!</v>
      </c>
      <c r="H36" s="14" t="e">
        <f t="shared" si="9"/>
        <v>#NUM!</v>
      </c>
      <c r="I36" s="19" t="e">
        <f t="shared" si="10"/>
        <v>#VALUE!</v>
      </c>
      <c r="J36" s="20" t="e">
        <f t="shared" si="11"/>
        <v>#VALUE!</v>
      </c>
    </row>
    <row r="37" spans="3:10" x14ac:dyDescent="0.3">
      <c r="C37" s="6" t="e">
        <f t="shared" si="6"/>
        <v>#VALUE!</v>
      </c>
      <c r="D37" s="6" t="e">
        <f t="shared" si="7"/>
        <v>#VALUE!</v>
      </c>
      <c r="E37" s="206" t="str">
        <f>IF(OR('TM-21 Inputs'!$I$19="",'TM-21 Inputs'!$I$21=""),"-",IF(OR('TM-21 Inputs'!N41="",'TM-21 Inputs'!L41=""),"",IF(OR(AND('TM-21 Inputs'!$I$19&gt;=5952,'TM-21 Inputs'!$I$19&lt;=10000,'TM-21 Inputs'!N41&gt;='TM-21 Inputs'!$I$19-5096),AND('TM-21 Inputs'!$I$19&gt;10000,OR('TM-21 Inputs'!N41&gt;=0.5*'TM-21 Inputs'!$I$19,'TM-21 Inputs'!N41=SMALL('TM-21 Inputs'!$N$10:$N$49,COUNTIF('TM-21 Inputs'!$N$10:$N$49,"&lt;"&amp;(0.5*'TM-21 Inputs'!$I$19)+1))))),'TM-21 Inputs'!N41,"")))</f>
        <v>-</v>
      </c>
      <c r="F37" s="4">
        <f>IF(E37="","",'TM-21 Inputs'!O41)</f>
        <v>0</v>
      </c>
      <c r="G37" s="11" t="e">
        <f t="shared" si="8"/>
        <v>#NUM!</v>
      </c>
      <c r="H37" s="14" t="e">
        <f t="shared" si="9"/>
        <v>#NUM!</v>
      </c>
      <c r="I37" s="19" t="e">
        <f t="shared" si="10"/>
        <v>#VALUE!</v>
      </c>
      <c r="J37" s="20" t="e">
        <f t="shared" si="11"/>
        <v>#VALUE!</v>
      </c>
    </row>
    <row r="38" spans="3:10" x14ac:dyDescent="0.3">
      <c r="C38" s="6" t="e">
        <f t="shared" si="6"/>
        <v>#VALUE!</v>
      </c>
      <c r="D38" s="6" t="e">
        <f t="shared" si="7"/>
        <v>#VALUE!</v>
      </c>
      <c r="E38" s="206" t="str">
        <f>IF(OR('TM-21 Inputs'!$I$19="",'TM-21 Inputs'!$I$21=""),"-",IF(OR('TM-21 Inputs'!N42="",'TM-21 Inputs'!L42=""),"",IF(OR(AND('TM-21 Inputs'!$I$19&gt;=5952,'TM-21 Inputs'!$I$19&lt;=10000,'TM-21 Inputs'!N42&gt;='TM-21 Inputs'!$I$19-5096),AND('TM-21 Inputs'!$I$19&gt;10000,OR('TM-21 Inputs'!N42&gt;=0.5*'TM-21 Inputs'!$I$19,'TM-21 Inputs'!N42=SMALL('TM-21 Inputs'!$N$10:$N$49,COUNTIF('TM-21 Inputs'!$N$10:$N$49,"&lt;"&amp;(0.5*'TM-21 Inputs'!$I$19)+1))))),'TM-21 Inputs'!N42,"")))</f>
        <v>-</v>
      </c>
      <c r="F38" s="4">
        <f>IF(E38="","",'TM-21 Inputs'!O42)</f>
        <v>0</v>
      </c>
      <c r="G38" s="11" t="e">
        <f t="shared" si="8"/>
        <v>#NUM!</v>
      </c>
      <c r="H38" s="14" t="e">
        <f t="shared" si="9"/>
        <v>#NUM!</v>
      </c>
      <c r="I38" s="19" t="e">
        <f t="shared" si="10"/>
        <v>#VALUE!</v>
      </c>
      <c r="J38" s="20" t="e">
        <f t="shared" si="11"/>
        <v>#VALUE!</v>
      </c>
    </row>
    <row r="39" spans="3:10" x14ac:dyDescent="0.3">
      <c r="C39" s="6" t="e">
        <f t="shared" si="6"/>
        <v>#VALUE!</v>
      </c>
      <c r="D39" s="6" t="e">
        <f t="shared" si="7"/>
        <v>#VALUE!</v>
      </c>
      <c r="E39" s="206" t="str">
        <f>IF(OR('TM-21 Inputs'!$I$19="",'TM-21 Inputs'!$I$21=""),"-",IF(OR('TM-21 Inputs'!N43="",'TM-21 Inputs'!L43=""),"",IF(OR(AND('TM-21 Inputs'!$I$19&gt;=5952,'TM-21 Inputs'!$I$19&lt;=10000,'TM-21 Inputs'!N43&gt;='TM-21 Inputs'!$I$19-5096),AND('TM-21 Inputs'!$I$19&gt;10000,OR('TM-21 Inputs'!N43&gt;=0.5*'TM-21 Inputs'!$I$19,'TM-21 Inputs'!N43=SMALL('TM-21 Inputs'!$N$10:$N$49,COUNTIF('TM-21 Inputs'!$N$10:$N$49,"&lt;"&amp;(0.5*'TM-21 Inputs'!$I$19)+1))))),'TM-21 Inputs'!N43,"")))</f>
        <v>-</v>
      </c>
      <c r="F39" s="4">
        <f>IF(E39="","",'TM-21 Inputs'!O43)</f>
        <v>0</v>
      </c>
      <c r="G39" s="11" t="e">
        <f t="shared" si="8"/>
        <v>#NUM!</v>
      </c>
      <c r="H39" s="14" t="e">
        <f t="shared" si="9"/>
        <v>#NUM!</v>
      </c>
      <c r="I39" s="19" t="e">
        <f t="shared" si="10"/>
        <v>#VALUE!</v>
      </c>
      <c r="J39" s="20" t="e">
        <f t="shared" si="11"/>
        <v>#VALUE!</v>
      </c>
    </row>
    <row r="40" spans="3:10" x14ac:dyDescent="0.3">
      <c r="C40" s="6" t="e">
        <f t="shared" si="6"/>
        <v>#VALUE!</v>
      </c>
      <c r="D40" s="6" t="e">
        <f t="shared" si="7"/>
        <v>#VALUE!</v>
      </c>
      <c r="E40" s="206" t="str">
        <f>IF(OR('TM-21 Inputs'!$I$19="",'TM-21 Inputs'!$I$21=""),"-",IF(OR('TM-21 Inputs'!N44="",'TM-21 Inputs'!L44=""),"",IF(OR(AND('TM-21 Inputs'!$I$19&gt;=5952,'TM-21 Inputs'!$I$19&lt;=10000,'TM-21 Inputs'!N44&gt;='TM-21 Inputs'!$I$19-5096),AND('TM-21 Inputs'!$I$19&gt;10000,OR('TM-21 Inputs'!N44&gt;=0.5*'TM-21 Inputs'!$I$19,'TM-21 Inputs'!N44=SMALL('TM-21 Inputs'!$N$10:$N$49,COUNTIF('TM-21 Inputs'!$N$10:$N$49,"&lt;"&amp;(0.5*'TM-21 Inputs'!$I$19)+1))))),'TM-21 Inputs'!N44,"")))</f>
        <v>-</v>
      </c>
      <c r="F40" s="4">
        <f>IF(E40="","",'TM-21 Inputs'!O44)</f>
        <v>0</v>
      </c>
      <c r="G40" s="11" t="e">
        <f t="shared" si="8"/>
        <v>#NUM!</v>
      </c>
      <c r="H40" s="14" t="e">
        <f t="shared" si="9"/>
        <v>#NUM!</v>
      </c>
      <c r="I40" s="19" t="e">
        <f t="shared" si="10"/>
        <v>#VALUE!</v>
      </c>
      <c r="J40" s="20" t="e">
        <f t="shared" si="11"/>
        <v>#VALUE!</v>
      </c>
    </row>
    <row r="41" spans="3:10" x14ac:dyDescent="0.3">
      <c r="C41" s="6" t="e">
        <f t="shared" si="6"/>
        <v>#VALUE!</v>
      </c>
      <c r="D41" s="6" t="e">
        <f t="shared" si="7"/>
        <v>#VALUE!</v>
      </c>
      <c r="E41" s="206" t="str">
        <f>IF(OR('TM-21 Inputs'!$I$19="",'TM-21 Inputs'!$I$21=""),"-",IF(OR('TM-21 Inputs'!N45="",'TM-21 Inputs'!L45=""),"",IF(OR(AND('TM-21 Inputs'!$I$19&gt;=5952,'TM-21 Inputs'!$I$19&lt;=10000,'TM-21 Inputs'!N45&gt;='TM-21 Inputs'!$I$19-5096),AND('TM-21 Inputs'!$I$19&gt;10000,OR('TM-21 Inputs'!N45&gt;=0.5*'TM-21 Inputs'!$I$19,'TM-21 Inputs'!N45=SMALL('TM-21 Inputs'!$N$10:$N$49,COUNTIF('TM-21 Inputs'!$N$10:$N$49,"&lt;"&amp;(0.5*'TM-21 Inputs'!$I$19)+1))))),'TM-21 Inputs'!N45,"")))</f>
        <v>-</v>
      </c>
      <c r="F41" s="4">
        <f>IF(E41="","",'TM-21 Inputs'!O45)</f>
        <v>0</v>
      </c>
      <c r="G41" s="11" t="e">
        <f t="shared" si="8"/>
        <v>#NUM!</v>
      </c>
      <c r="H41" s="14" t="e">
        <f t="shared" si="9"/>
        <v>#NUM!</v>
      </c>
      <c r="I41" s="19" t="e">
        <f t="shared" si="10"/>
        <v>#VALUE!</v>
      </c>
      <c r="J41" s="20" t="e">
        <f t="shared" si="11"/>
        <v>#VALUE!</v>
      </c>
    </row>
    <row r="42" spans="3:10" x14ac:dyDescent="0.3">
      <c r="C42" s="6" t="e">
        <f t="shared" si="6"/>
        <v>#VALUE!</v>
      </c>
      <c r="D42" s="6" t="e">
        <f t="shared" si="7"/>
        <v>#VALUE!</v>
      </c>
      <c r="E42" s="206" t="str">
        <f>IF(OR('TM-21 Inputs'!$I$19="",'TM-21 Inputs'!$I$21=""),"-",IF(OR('TM-21 Inputs'!N46="",'TM-21 Inputs'!L46=""),"",IF(OR(AND('TM-21 Inputs'!$I$19&gt;=5952,'TM-21 Inputs'!$I$19&lt;=10000,'TM-21 Inputs'!N46&gt;='TM-21 Inputs'!$I$19-5096),AND('TM-21 Inputs'!$I$19&gt;10000,OR('TM-21 Inputs'!N46&gt;=0.5*'TM-21 Inputs'!$I$19,'TM-21 Inputs'!N46=SMALL('TM-21 Inputs'!$N$10:$N$49,COUNTIF('TM-21 Inputs'!$N$10:$N$49,"&lt;"&amp;(0.5*'TM-21 Inputs'!$I$19)+1))))),'TM-21 Inputs'!N46,"")))</f>
        <v>-</v>
      </c>
      <c r="F42" s="4">
        <f>IF(E42="","",'TM-21 Inputs'!O46)</f>
        <v>0</v>
      </c>
      <c r="G42" s="11" t="e">
        <f t="shared" si="8"/>
        <v>#NUM!</v>
      </c>
      <c r="H42" s="14" t="e">
        <f t="shared" si="9"/>
        <v>#NUM!</v>
      </c>
      <c r="I42" s="19" t="e">
        <f t="shared" si="10"/>
        <v>#VALUE!</v>
      </c>
      <c r="J42" s="20" t="e">
        <f t="shared" si="11"/>
        <v>#VALUE!</v>
      </c>
    </row>
    <row r="43" spans="3:10" x14ac:dyDescent="0.3">
      <c r="C43" s="6" t="e">
        <f t="shared" si="6"/>
        <v>#VALUE!</v>
      </c>
      <c r="D43" s="6" t="e">
        <f t="shared" si="7"/>
        <v>#VALUE!</v>
      </c>
      <c r="E43" s="206" t="str">
        <f>IF(OR('TM-21 Inputs'!$I$19="",'TM-21 Inputs'!$I$21=""),"-",IF(OR('TM-21 Inputs'!N47="",'TM-21 Inputs'!L47=""),"",IF(OR(AND('TM-21 Inputs'!$I$19&gt;=5952,'TM-21 Inputs'!$I$19&lt;=10000,'TM-21 Inputs'!N47&gt;='TM-21 Inputs'!$I$19-5096),AND('TM-21 Inputs'!$I$19&gt;10000,OR('TM-21 Inputs'!N47&gt;=0.5*'TM-21 Inputs'!$I$19,'TM-21 Inputs'!N47=SMALL('TM-21 Inputs'!$N$10:$N$49,COUNTIF('TM-21 Inputs'!$N$10:$N$49,"&lt;"&amp;(0.5*'TM-21 Inputs'!$I$19)+1))))),'TM-21 Inputs'!N47,"")))</f>
        <v>-</v>
      </c>
      <c r="F43" s="4">
        <f>IF(E43="","",'TM-21 Inputs'!O47)</f>
        <v>0</v>
      </c>
      <c r="G43" s="11" t="e">
        <f t="shared" si="8"/>
        <v>#NUM!</v>
      </c>
      <c r="H43" s="14" t="e">
        <f t="shared" si="9"/>
        <v>#NUM!</v>
      </c>
      <c r="I43" s="19" t="e">
        <f t="shared" si="10"/>
        <v>#VALUE!</v>
      </c>
      <c r="J43" s="20" t="e">
        <f t="shared" si="11"/>
        <v>#VALUE!</v>
      </c>
    </row>
    <row r="44" spans="3:10" x14ac:dyDescent="0.3">
      <c r="C44" s="6" t="e">
        <f t="shared" si="6"/>
        <v>#VALUE!</v>
      </c>
      <c r="D44" s="6" t="e">
        <f t="shared" si="7"/>
        <v>#VALUE!</v>
      </c>
      <c r="E44" s="206" t="str">
        <f>IF(OR('TM-21 Inputs'!$I$19="",'TM-21 Inputs'!$I$21=""),"-",IF(OR('TM-21 Inputs'!N48="",'TM-21 Inputs'!L48=""),"",IF(OR(AND('TM-21 Inputs'!$I$19&gt;=5952,'TM-21 Inputs'!$I$19&lt;=10000,'TM-21 Inputs'!N48&gt;='TM-21 Inputs'!$I$19-5096),AND('TM-21 Inputs'!$I$19&gt;10000,OR('TM-21 Inputs'!N48&gt;=0.5*'TM-21 Inputs'!$I$19,'TM-21 Inputs'!N48=SMALL('TM-21 Inputs'!$N$10:$N$49,COUNTIF('TM-21 Inputs'!$N$10:$N$49,"&lt;"&amp;(0.5*'TM-21 Inputs'!$I$19)+1))))),'TM-21 Inputs'!N48,"")))</f>
        <v>-</v>
      </c>
      <c r="F44" s="4">
        <f>IF(E44="","",'TM-21 Inputs'!O48)</f>
        <v>0</v>
      </c>
      <c r="G44" s="11" t="e">
        <f t="shared" si="8"/>
        <v>#NUM!</v>
      </c>
      <c r="H44" s="14" t="e">
        <f t="shared" si="9"/>
        <v>#NUM!</v>
      </c>
      <c r="I44" s="19" t="e">
        <f t="shared" si="10"/>
        <v>#VALUE!</v>
      </c>
      <c r="J44" s="20" t="e">
        <f t="shared" si="11"/>
        <v>#VALUE!</v>
      </c>
    </row>
    <row r="45" spans="3:10" x14ac:dyDescent="0.3">
      <c r="C45" s="6" t="e">
        <f t="shared" si="6"/>
        <v>#VALUE!</v>
      </c>
      <c r="D45" s="6" t="e">
        <f t="shared" si="7"/>
        <v>#VALUE!</v>
      </c>
      <c r="E45" s="206" t="str">
        <f>IF(OR('TM-21 Inputs'!$I$19="",'TM-21 Inputs'!$I$21=""),"-",IF(OR('TM-21 Inputs'!N49="",'TM-21 Inputs'!L49=""),"",IF(OR(AND('TM-21 Inputs'!$I$19&gt;=5952,'TM-21 Inputs'!$I$19&lt;=10000,'TM-21 Inputs'!N49&gt;='TM-21 Inputs'!$I$19-5096),AND('TM-21 Inputs'!$I$19&gt;10000,OR('TM-21 Inputs'!N49&gt;=0.5*'TM-21 Inputs'!$I$19,'TM-21 Inputs'!N49=SMALL('TM-21 Inputs'!$N$10:$N$49,COUNTIF('TM-21 Inputs'!$N$10:$N$49,"&lt;"&amp;(0.5*'TM-21 Inputs'!$I$19)+1))))),'TM-21 Inputs'!N49,"")))</f>
        <v>-</v>
      </c>
      <c r="F45" s="4">
        <f>IF(E45="","",'TM-21 Inputs'!O49)</f>
        <v>0</v>
      </c>
      <c r="G45" s="11" t="e">
        <f t="shared" si="8"/>
        <v>#NUM!</v>
      </c>
      <c r="H45" s="14" t="e">
        <f t="shared" si="9"/>
        <v>#NUM!</v>
      </c>
      <c r="I45" s="19" t="e">
        <f t="shared" si="10"/>
        <v>#VALUE!</v>
      </c>
      <c r="J45" s="20" t="e">
        <f t="shared" si="11"/>
        <v>#VALUE!</v>
      </c>
    </row>
    <row r="46" spans="3:10" x14ac:dyDescent="0.3">
      <c r="C46" s="6" t="e">
        <f t="shared" si="6"/>
        <v>#VALUE!</v>
      </c>
      <c r="D46" s="6" t="e">
        <f t="shared" si="7"/>
        <v>#VALUE!</v>
      </c>
      <c r="E46" s="206" t="str">
        <f>IF(OR('TM-21 Inputs'!$I$19="",'TM-21 Inputs'!$I$21=""),"-",IF(OR('TM-21 Inputs'!N50="",'TM-21 Inputs'!L50=""),"",IF(OR(AND('TM-21 Inputs'!$I$19&gt;=5952,'TM-21 Inputs'!$I$19&lt;=10000,'TM-21 Inputs'!N50&gt;='TM-21 Inputs'!$I$19-5096),AND('TM-21 Inputs'!$I$19&gt;10000,OR('TM-21 Inputs'!N50&gt;=0.5*'TM-21 Inputs'!$I$19,'TM-21 Inputs'!N50=SMALL('TM-21 Inputs'!$N$10:$N$49,COUNTIF('TM-21 Inputs'!$N$10:$N$49,"&lt;"&amp;(0.5*'TM-21 Inputs'!$I$19)+1))))),'TM-21 Inputs'!N50,"")))</f>
        <v>-</v>
      </c>
      <c r="F46" s="4">
        <f>IF(E46="","",'TM-21 Inputs'!O50)</f>
        <v>0</v>
      </c>
      <c r="G46" s="11" t="e">
        <f t="shared" si="8"/>
        <v>#NUM!</v>
      </c>
      <c r="H46" s="14" t="e">
        <f t="shared" si="9"/>
        <v>#NUM!</v>
      </c>
      <c r="I46" s="19" t="e">
        <f t="shared" si="10"/>
        <v>#VALUE!</v>
      </c>
      <c r="J46" s="20" t="e">
        <f t="shared" si="11"/>
        <v>#VALUE!</v>
      </c>
    </row>
    <row r="47" spans="3:10" x14ac:dyDescent="0.3">
      <c r="C47" s="6" t="e">
        <f t="shared" si="6"/>
        <v>#VALUE!</v>
      </c>
      <c r="D47" s="6" t="e">
        <f t="shared" si="7"/>
        <v>#VALUE!</v>
      </c>
      <c r="E47" s="206" t="str">
        <f>IF(OR('TM-21 Inputs'!$I$19="",'TM-21 Inputs'!$I$21=""),"-",IF(OR('TM-21 Inputs'!N51="",'TM-21 Inputs'!L51=""),"",IF(OR(AND('TM-21 Inputs'!$I$19&gt;=5952,'TM-21 Inputs'!$I$19&lt;=10000,'TM-21 Inputs'!N51&gt;='TM-21 Inputs'!$I$19-5096),AND('TM-21 Inputs'!$I$19&gt;10000,OR('TM-21 Inputs'!N51&gt;=0.5*'TM-21 Inputs'!$I$19,'TM-21 Inputs'!N51=SMALL('TM-21 Inputs'!$N$10:$N$49,COUNTIF('TM-21 Inputs'!$N$10:$N$49,"&lt;"&amp;(0.5*'TM-21 Inputs'!$I$19)+1))))),'TM-21 Inputs'!N51,"")))</f>
        <v>-</v>
      </c>
      <c r="F47" s="4">
        <f>IF(E47="","",'TM-21 Inputs'!O51)</f>
        <v>0</v>
      </c>
      <c r="G47" s="11" t="e">
        <f t="shared" si="8"/>
        <v>#NUM!</v>
      </c>
      <c r="H47" s="14" t="e">
        <f t="shared" si="9"/>
        <v>#NUM!</v>
      </c>
      <c r="I47" s="19" t="e">
        <f t="shared" si="10"/>
        <v>#VALUE!</v>
      </c>
      <c r="J47" s="20" t="e">
        <f t="shared" si="11"/>
        <v>#VALUE!</v>
      </c>
    </row>
    <row r="48" spans="3:10" x14ac:dyDescent="0.3">
      <c r="C48" s="6" t="e">
        <f t="shared" si="6"/>
        <v>#VALUE!</v>
      </c>
      <c r="D48" s="6" t="e">
        <f t="shared" si="7"/>
        <v>#VALUE!</v>
      </c>
      <c r="E48" s="206" t="str">
        <f>IF(OR('TM-21 Inputs'!$I$19="",'TM-21 Inputs'!$I$21=""),"-",IF(OR('TM-21 Inputs'!N52="",'TM-21 Inputs'!L52=""),"",IF(OR(AND('TM-21 Inputs'!$I$19&gt;=5952,'TM-21 Inputs'!$I$19&lt;=10000,'TM-21 Inputs'!N52&gt;='TM-21 Inputs'!$I$19-5096),AND('TM-21 Inputs'!$I$19&gt;10000,OR('TM-21 Inputs'!N52&gt;=0.5*'TM-21 Inputs'!$I$19,'TM-21 Inputs'!N52=SMALL('TM-21 Inputs'!$N$10:$N$49,COUNTIF('TM-21 Inputs'!$N$10:$N$49,"&lt;"&amp;(0.5*'TM-21 Inputs'!$I$19)+1))))),'TM-21 Inputs'!N52,"")))</f>
        <v>-</v>
      </c>
      <c r="F48" s="4">
        <f>IF(E48="","",'TM-21 Inputs'!O52)</f>
        <v>0</v>
      </c>
      <c r="G48" s="11" t="e">
        <f t="shared" si="8"/>
        <v>#NUM!</v>
      </c>
      <c r="H48" s="14" t="e">
        <f t="shared" si="9"/>
        <v>#NUM!</v>
      </c>
      <c r="I48" s="19" t="e">
        <f t="shared" si="10"/>
        <v>#VALUE!</v>
      </c>
      <c r="J48" s="20" t="e">
        <f t="shared" si="11"/>
        <v>#VALUE!</v>
      </c>
    </row>
    <row r="49" spans="3:10" x14ac:dyDescent="0.3">
      <c r="C49" s="6" t="e">
        <f t="shared" si="6"/>
        <v>#VALUE!</v>
      </c>
      <c r="D49" s="6" t="e">
        <f t="shared" si="7"/>
        <v>#VALUE!</v>
      </c>
      <c r="E49" s="206" t="str">
        <f>IF(OR('TM-21 Inputs'!$I$19="",'TM-21 Inputs'!$I$21=""),"-",IF(OR('TM-21 Inputs'!N53="",'TM-21 Inputs'!L53=""),"",IF(OR(AND('TM-21 Inputs'!$I$19&gt;=5952,'TM-21 Inputs'!$I$19&lt;=10000,'TM-21 Inputs'!N53&gt;='TM-21 Inputs'!$I$19-5096),AND('TM-21 Inputs'!$I$19&gt;10000,OR('TM-21 Inputs'!N53&gt;=0.5*'TM-21 Inputs'!$I$19,'TM-21 Inputs'!N53=SMALL('TM-21 Inputs'!$N$10:$N$49,COUNTIF('TM-21 Inputs'!$N$10:$N$49,"&lt;"&amp;(0.5*'TM-21 Inputs'!$I$19)+1))))),'TM-21 Inputs'!N53,"")))</f>
        <v>-</v>
      </c>
      <c r="F49" s="4">
        <f>IF(E49="","",'TM-21 Inputs'!O53)</f>
        <v>0</v>
      </c>
      <c r="G49" s="11" t="e">
        <f t="shared" si="8"/>
        <v>#NUM!</v>
      </c>
      <c r="H49" s="14" t="e">
        <f t="shared" si="9"/>
        <v>#NUM!</v>
      </c>
      <c r="I49" s="19" t="e">
        <f t="shared" si="10"/>
        <v>#VALUE!</v>
      </c>
      <c r="J49" s="20" t="e">
        <f t="shared" si="11"/>
        <v>#VALUE!</v>
      </c>
    </row>
    <row r="50" spans="3:10" x14ac:dyDescent="0.3">
      <c r="C50" s="6"/>
      <c r="D50" s="6"/>
      <c r="E50" s="207"/>
      <c r="F50" s="4"/>
      <c r="G50" s="11"/>
      <c r="H50" s="14"/>
      <c r="I50" s="19"/>
      <c r="J50" s="20"/>
    </row>
    <row r="51" spans="3:10" customFormat="1" x14ac:dyDescent="0.3">
      <c r="C51" s="6"/>
      <c r="D51" s="6"/>
      <c r="E51" s="207"/>
      <c r="F51" s="4"/>
      <c r="G51" s="11"/>
      <c r="H51" s="14"/>
      <c r="I51" s="19"/>
      <c r="J51" s="20"/>
    </row>
    <row r="52" spans="3:10" ht="15" thickBot="1" x14ac:dyDescent="0.35">
      <c r="C52" s="201" t="str">
        <f>IF(COUNTIFS(C6:C49,"&gt;96")=0,"PASS","FAIL")</f>
        <v>PASS</v>
      </c>
      <c r="D52" s="21" t="s">
        <v>8</v>
      </c>
      <c r="E52" s="22">
        <f>SUM(E6:E49)</f>
        <v>0</v>
      </c>
      <c r="F52" s="23">
        <f>SUM(F6:F49)</f>
        <v>0</v>
      </c>
      <c r="G52" s="24" t="e">
        <f>SUM(G6:G49)</f>
        <v>#NUM!</v>
      </c>
      <c r="H52" s="25" t="e">
        <f>SUM(H6:H49)</f>
        <v>#NUM!</v>
      </c>
      <c r="I52" s="26" t="e">
        <f>SUM(I6:I49)</f>
        <v>#VALUE!</v>
      </c>
      <c r="J52" s="27" t="e">
        <f>SUM(J6:J49)</f>
        <v>#VALUE!</v>
      </c>
    </row>
    <row r="53" spans="3:10" ht="15" thickBot="1" x14ac:dyDescent="0.35"/>
    <row r="54" spans="3:10" ht="15.6" x14ac:dyDescent="0.3">
      <c r="E54" s="289" t="s">
        <v>9</v>
      </c>
      <c r="F54" s="290"/>
    </row>
    <row r="55" spans="3:10" x14ac:dyDescent="0.3">
      <c r="E55" s="33" t="s">
        <v>15</v>
      </c>
      <c r="F55" s="34" t="str">
        <f>IF('TM-21 Inputs'!I22="","",((COUNTIF(E6:E25,"&gt;"&amp;0)*H52-(E52*G52))/((COUNTIF(E6:E25,"&gt;"&amp;0)*I52)-(E52^2))))</f>
        <v/>
      </c>
    </row>
    <row r="56" spans="3:10" x14ac:dyDescent="0.3">
      <c r="E56" s="35" t="s">
        <v>16</v>
      </c>
      <c r="F56" s="36" t="str">
        <f>IF('TM-21 Inputs'!I22="","",(G52-(F55*E52))/COUNTIF(E6:E25,"&gt;"&amp;0))</f>
        <v/>
      </c>
    </row>
    <row r="57" spans="3:10" x14ac:dyDescent="0.3">
      <c r="E57" s="37" t="s">
        <v>17</v>
      </c>
      <c r="F57" s="36" t="str">
        <f>IF('TM-21 Inputs'!I22="","",-F55)</f>
        <v/>
      </c>
    </row>
    <row r="58" spans="3:10" x14ac:dyDescent="0.3">
      <c r="E58" s="35" t="s">
        <v>18</v>
      </c>
      <c r="F58" s="36" t="str">
        <f>IF('TM-21 Inputs'!I22="","",EXP(F56))</f>
        <v/>
      </c>
    </row>
    <row r="59" spans="3:10" ht="30" customHeight="1" x14ac:dyDescent="0.3">
      <c r="E59" s="38" t="str">
        <f>CONCATENATE("Calculated L",'TM-21 Inputs'!I35," (hrs):")</f>
        <v>Calculated L (hrs):</v>
      </c>
      <c r="F59" s="39" t="str">
        <f>IF('TM-21 Inputs'!I22="","",ROUND((LN(F58/('TM-21 Inputs'!$I$35/100))/F57),-3))</f>
        <v/>
      </c>
    </row>
    <row r="60" spans="3:10" ht="29.4" thickBot="1" x14ac:dyDescent="0.35">
      <c r="E60" s="40" t="str">
        <f>CONCATENATE("Reported L",'TM-21 Inputs'!I35," (hrs):")</f>
        <v>Reported L (hrs):</v>
      </c>
      <c r="F60" s="28" t="str">
        <f>IF('TM-21 Inputs'!I22="","",IF(OR(AND('TM-21 Inputs'!$I$18&gt;=20,$F$59&lt;6*'TM-21 Inputs'!$I$19),AND('TM-21 Inputs'!$I$18&gt;=10,'TM-21 Inputs'!$I$18&lt;=19,$F$59&lt;5.5*'TM-21 Inputs'!$I$19)),ROUND(F59,-3),IF('TM-21 Inputs'!$I$18&gt;=20,CONCATENATE("&gt;",ROUND((6*'TM-21 Inputs'!$I$19),-3)),IF(AND('TM-21 Inputs'!$I$18&gt;=10,'TM-21 Inputs'!$I$18&lt;=19),CONCATENATE("&gt;",ROUND((5.5*'TM-21 Inputs'!$I$19),-3)),"error"))))</f>
        <v/>
      </c>
    </row>
  </sheetData>
  <mergeCells count="2">
    <mergeCell ref="E54:F54"/>
    <mergeCell ref="C4:J4"/>
  </mergeCells>
  <pageMargins left="0.7" right="0.7" top="0.75" bottom="0.75" header="0.3" footer="0.3"/>
  <pageSetup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C000"/>
  </sheetPr>
  <dimension ref="C3:J60"/>
  <sheetViews>
    <sheetView zoomScale="70" zoomScaleNormal="70" workbookViewId="0">
      <selection activeCell="E49" sqref="E49"/>
    </sheetView>
  </sheetViews>
  <sheetFormatPr defaultColWidth="9.109375" defaultRowHeight="14.4" x14ac:dyDescent="0.3"/>
  <cols>
    <col min="1" max="1" width="17" style="1" customWidth="1"/>
    <col min="2" max="3" width="9.109375" style="1"/>
    <col min="4" max="4" width="9.44140625" style="1" customWidth="1"/>
    <col min="5" max="5" width="12.88671875" style="1" bestFit="1" customWidth="1"/>
    <col min="6" max="6" width="17.88671875" style="1" customWidth="1"/>
    <col min="7" max="7" width="27.5546875" style="1" customWidth="1"/>
    <col min="8" max="8" width="12.5546875" style="1" bestFit="1" customWidth="1"/>
    <col min="9" max="9" width="14.88671875" style="1" bestFit="1" customWidth="1"/>
    <col min="10" max="10" width="10.77734375" style="1" bestFit="1" customWidth="1"/>
    <col min="11" max="16384" width="9.109375" style="1"/>
  </cols>
  <sheetData>
    <row r="3" spans="3:10" ht="15" thickBot="1" x14ac:dyDescent="0.35"/>
    <row r="4" spans="3:10" ht="15" customHeight="1" x14ac:dyDescent="0.3">
      <c r="C4" s="289" t="str">
        <f>IF('TM-21 Inputs'!I23="","Insert Case Temperature 3",CONCATENATE("Test Data for ",'TM-21 Inputs'!I23,"⁰C Case Temperature"))</f>
        <v>Insert Case Temperature 3</v>
      </c>
      <c r="D4" s="291"/>
      <c r="E4" s="291"/>
      <c r="F4" s="291"/>
      <c r="G4" s="291"/>
      <c r="H4" s="291"/>
      <c r="I4" s="291"/>
      <c r="J4" s="290"/>
    </row>
    <row r="5" spans="3:10" ht="60" customHeight="1" x14ac:dyDescent="0.3">
      <c r="C5" s="200" t="s">
        <v>100</v>
      </c>
      <c r="D5" s="29" t="s">
        <v>99</v>
      </c>
      <c r="E5" s="30" t="s">
        <v>3</v>
      </c>
      <c r="F5" s="31" t="s">
        <v>4</v>
      </c>
      <c r="G5" s="31" t="s">
        <v>7</v>
      </c>
      <c r="H5" s="31" t="s">
        <v>5</v>
      </c>
      <c r="I5" s="31" t="s">
        <v>6</v>
      </c>
      <c r="J5" s="32" t="s">
        <v>1</v>
      </c>
    </row>
    <row r="6" spans="3:10" x14ac:dyDescent="0.3">
      <c r="C6" s="198" t="str">
        <f>"-"</f>
        <v>-</v>
      </c>
      <c r="D6" s="198" t="str">
        <f>"-"</f>
        <v>-</v>
      </c>
      <c r="E6" s="7" t="str">
        <f>IF(OR('TM-21 Inputs'!$I$19="",'TM-21 Inputs'!$I$21=""),"-",IF(OR('TM-21 Inputs'!Q10="",'TM-21 Inputs'!L10=""),"",IF(OR(AND('TM-21 Inputs'!$I$19&gt;=5952,'TM-21 Inputs'!$I$19&lt;=10000,'TM-21 Inputs'!Q10&gt;='TM-21 Inputs'!$I$19-5096),AND('TM-21 Inputs'!$I$19&gt;10000,OR('TM-21 Inputs'!Q10&gt;=0.5*'TM-21 Inputs'!$I$19,'TM-21 Inputs'!Q10=SMALL('TM-21 Inputs'!$Q$10:$Q$49,COUNTIF('TM-21 Inputs'!$Q$10:$Q$49,"&lt;"&amp;(0.5*'TM-21 Inputs'!$I$19)+1))))),'TM-21 Inputs'!Q10,"")))</f>
        <v>-</v>
      </c>
      <c r="F6" s="2">
        <f>IF(E6="","",'TM-21 Inputs'!R10)</f>
        <v>0</v>
      </c>
      <c r="G6" s="9" t="e">
        <f>IF(E6="","",LN(F6))</f>
        <v>#NUM!</v>
      </c>
      <c r="H6" s="12" t="e">
        <f>IF(E6="","",(G6*E6))</f>
        <v>#NUM!</v>
      </c>
      <c r="I6" s="15" t="e">
        <f>IF(E6="","",E6^2)</f>
        <v>#VALUE!</v>
      </c>
      <c r="J6" s="16" t="e">
        <f>IF(E6="","",E6*G6)</f>
        <v>#VALUE!</v>
      </c>
    </row>
    <row r="7" spans="3:10" x14ac:dyDescent="0.3">
      <c r="C7" s="199" t="str">
        <f>"-"</f>
        <v>-</v>
      </c>
      <c r="D7" s="5" t="e">
        <f t="shared" ref="D7:D25" si="0">IF(OR(E6="",E7=""),"",E7-E6)</f>
        <v>#VALUE!</v>
      </c>
      <c r="E7" s="7" t="str">
        <f>IF(OR('TM-21 Inputs'!$I$19="",'TM-21 Inputs'!$I$21=""),"-",IF(OR('TM-21 Inputs'!Q11="",'TM-21 Inputs'!L11=""),"",IF(OR(AND('TM-21 Inputs'!$I$19&gt;=5952,'TM-21 Inputs'!$I$19&lt;=10000,'TM-21 Inputs'!Q11&gt;='TM-21 Inputs'!$I$19-5096),AND('TM-21 Inputs'!$I$19&gt;10000,OR('TM-21 Inputs'!Q11&gt;=0.5*'TM-21 Inputs'!$I$19,'TM-21 Inputs'!Q11=SMALL('TM-21 Inputs'!$Q$10:$Q$49,COUNTIF('TM-21 Inputs'!$Q$10:$Q$49,"&lt;"&amp;(0.5*'TM-21 Inputs'!$I$19)+1))))),'TM-21 Inputs'!Q11,"")))</f>
        <v>-</v>
      </c>
      <c r="F7" s="3">
        <f>IF(E7="","",'TM-21 Inputs'!R11)</f>
        <v>0</v>
      </c>
      <c r="G7" s="10" t="e">
        <f t="shared" ref="G7:G25" si="1">IF(E7="","",LN(F7))</f>
        <v>#NUM!</v>
      </c>
      <c r="H7" s="13" t="e">
        <f t="shared" ref="H7:H25" si="2">IF(E7="","",(G7*E7))</f>
        <v>#NUM!</v>
      </c>
      <c r="I7" s="17" t="e">
        <f t="shared" ref="I7:I25" si="3">IF(E7="","",E7^2)</f>
        <v>#VALUE!</v>
      </c>
      <c r="J7" s="18" t="e">
        <f t="shared" ref="J7:J25" si="4">IF(E7="","",E7*G7)</f>
        <v>#VALUE!</v>
      </c>
    </row>
    <row r="8" spans="3:10" x14ac:dyDescent="0.3">
      <c r="C8" s="5" t="e">
        <f>IF(OR(D7="",D8=""),"",ABS(D8-D7))</f>
        <v>#VALUE!</v>
      </c>
      <c r="D8" s="5" t="e">
        <f t="shared" si="0"/>
        <v>#VALUE!</v>
      </c>
      <c r="E8" s="7" t="str">
        <f>IF(OR('TM-21 Inputs'!$I$19="",'TM-21 Inputs'!$I$21=""),"-",IF(OR('TM-21 Inputs'!Q12="",'TM-21 Inputs'!L12=""),"",IF(OR(AND('TM-21 Inputs'!$I$19&gt;=5952,'TM-21 Inputs'!$I$19&lt;=10000,'TM-21 Inputs'!Q12&gt;='TM-21 Inputs'!$I$19-5096),AND('TM-21 Inputs'!$I$19&gt;10000,OR('TM-21 Inputs'!Q12&gt;=0.5*'TM-21 Inputs'!$I$19,'TM-21 Inputs'!Q12=SMALL('TM-21 Inputs'!$Q$10:$Q$49,COUNTIF('TM-21 Inputs'!$Q$10:$Q$49,"&lt;"&amp;(0.5*'TM-21 Inputs'!$I$19)+1))))),'TM-21 Inputs'!Q12,"")))</f>
        <v>-</v>
      </c>
      <c r="F8" s="3">
        <f>IF(E8="","",'TM-21 Inputs'!R12)</f>
        <v>0</v>
      </c>
      <c r="G8" s="10" t="e">
        <f t="shared" si="1"/>
        <v>#NUM!</v>
      </c>
      <c r="H8" s="13" t="e">
        <f t="shared" si="2"/>
        <v>#NUM!</v>
      </c>
      <c r="I8" s="17" t="e">
        <f t="shared" si="3"/>
        <v>#VALUE!</v>
      </c>
      <c r="J8" s="18" t="e">
        <f t="shared" si="4"/>
        <v>#VALUE!</v>
      </c>
    </row>
    <row r="9" spans="3:10" x14ac:dyDescent="0.3">
      <c r="C9" s="5" t="e">
        <f t="shared" ref="C9:C25" si="5">IF(OR(D8="",D9=""),"",ABS(D9-D8))</f>
        <v>#VALUE!</v>
      </c>
      <c r="D9" s="5" t="e">
        <f t="shared" si="0"/>
        <v>#VALUE!</v>
      </c>
      <c r="E9" s="7" t="str">
        <f>IF(OR('TM-21 Inputs'!$I$19="",'TM-21 Inputs'!$I$21=""),"-",IF(OR('TM-21 Inputs'!Q13="",'TM-21 Inputs'!L13=""),"",IF(OR(AND('TM-21 Inputs'!$I$19&gt;=5952,'TM-21 Inputs'!$I$19&lt;=10000,'TM-21 Inputs'!Q13&gt;='TM-21 Inputs'!$I$19-5096),AND('TM-21 Inputs'!$I$19&gt;10000,OR('TM-21 Inputs'!Q13&gt;=0.5*'TM-21 Inputs'!$I$19,'TM-21 Inputs'!Q13=SMALL('TM-21 Inputs'!$Q$10:$Q$49,COUNTIF('TM-21 Inputs'!$Q$10:$Q$49,"&lt;"&amp;(0.5*'TM-21 Inputs'!$I$19)+1))))),'TM-21 Inputs'!Q13,"")))</f>
        <v>-</v>
      </c>
      <c r="F9" s="3">
        <f>IF(E9="","",'TM-21 Inputs'!R13)</f>
        <v>0</v>
      </c>
      <c r="G9" s="10" t="e">
        <f t="shared" si="1"/>
        <v>#NUM!</v>
      </c>
      <c r="H9" s="13" t="e">
        <f t="shared" si="2"/>
        <v>#NUM!</v>
      </c>
      <c r="I9" s="17" t="e">
        <f t="shared" si="3"/>
        <v>#VALUE!</v>
      </c>
      <c r="J9" s="18" t="e">
        <f t="shared" si="4"/>
        <v>#VALUE!</v>
      </c>
    </row>
    <row r="10" spans="3:10" x14ac:dyDescent="0.3">
      <c r="C10" s="5" t="e">
        <f t="shared" si="5"/>
        <v>#VALUE!</v>
      </c>
      <c r="D10" s="5" t="e">
        <f t="shared" si="0"/>
        <v>#VALUE!</v>
      </c>
      <c r="E10" s="7" t="str">
        <f>IF(OR('TM-21 Inputs'!$I$19="",'TM-21 Inputs'!$I$21=""),"-",IF(OR('TM-21 Inputs'!Q14="",'TM-21 Inputs'!L14=""),"",IF(OR(AND('TM-21 Inputs'!$I$19&gt;=5952,'TM-21 Inputs'!$I$19&lt;=10000,'TM-21 Inputs'!Q14&gt;='TM-21 Inputs'!$I$19-5096),AND('TM-21 Inputs'!$I$19&gt;10000,OR('TM-21 Inputs'!Q14&gt;=0.5*'TM-21 Inputs'!$I$19,'TM-21 Inputs'!Q14=SMALL('TM-21 Inputs'!$Q$10:$Q$49,COUNTIF('TM-21 Inputs'!$Q$10:$Q$49,"&lt;"&amp;(0.5*'TM-21 Inputs'!$I$19)+1))))),'TM-21 Inputs'!Q14,"")))</f>
        <v>-</v>
      </c>
      <c r="F10" s="3">
        <f>IF(E10="","",'TM-21 Inputs'!R14)</f>
        <v>0</v>
      </c>
      <c r="G10" s="10" t="e">
        <f t="shared" si="1"/>
        <v>#NUM!</v>
      </c>
      <c r="H10" s="13" t="e">
        <f t="shared" si="2"/>
        <v>#NUM!</v>
      </c>
      <c r="I10" s="17" t="e">
        <f t="shared" si="3"/>
        <v>#VALUE!</v>
      </c>
      <c r="J10" s="18" t="e">
        <f t="shared" si="4"/>
        <v>#VALUE!</v>
      </c>
    </row>
    <row r="11" spans="3:10" x14ac:dyDescent="0.3">
      <c r="C11" s="5" t="e">
        <f t="shared" si="5"/>
        <v>#VALUE!</v>
      </c>
      <c r="D11" s="5" t="e">
        <f t="shared" si="0"/>
        <v>#VALUE!</v>
      </c>
      <c r="E11" s="7" t="str">
        <f>IF(OR('TM-21 Inputs'!$I$19="",'TM-21 Inputs'!$I$21=""),"-",IF(OR('TM-21 Inputs'!Q15="",'TM-21 Inputs'!L15=""),"",IF(OR(AND('TM-21 Inputs'!$I$19&gt;=5952,'TM-21 Inputs'!$I$19&lt;=10000,'TM-21 Inputs'!Q15&gt;='TM-21 Inputs'!$I$19-5096),AND('TM-21 Inputs'!$I$19&gt;10000,OR('TM-21 Inputs'!Q15&gt;=0.5*'TM-21 Inputs'!$I$19,'TM-21 Inputs'!Q15=SMALL('TM-21 Inputs'!$Q$10:$Q$49,COUNTIF('TM-21 Inputs'!$Q$10:$Q$49,"&lt;"&amp;(0.5*'TM-21 Inputs'!$I$19)+1))))),'TM-21 Inputs'!Q15,"")))</f>
        <v>-</v>
      </c>
      <c r="F11" s="3">
        <f>IF(E11="","",'TM-21 Inputs'!R15)</f>
        <v>0</v>
      </c>
      <c r="G11" s="10" t="e">
        <f t="shared" si="1"/>
        <v>#NUM!</v>
      </c>
      <c r="H11" s="13" t="e">
        <f t="shared" si="2"/>
        <v>#NUM!</v>
      </c>
      <c r="I11" s="17" t="e">
        <f t="shared" si="3"/>
        <v>#VALUE!</v>
      </c>
      <c r="J11" s="18" t="e">
        <f t="shared" si="4"/>
        <v>#VALUE!</v>
      </c>
    </row>
    <row r="12" spans="3:10" x14ac:dyDescent="0.3">
      <c r="C12" s="5" t="e">
        <f t="shared" si="5"/>
        <v>#VALUE!</v>
      </c>
      <c r="D12" s="5" t="e">
        <f t="shared" si="0"/>
        <v>#VALUE!</v>
      </c>
      <c r="E12" s="7" t="str">
        <f>IF(OR('TM-21 Inputs'!$I$19="",'TM-21 Inputs'!$I$21=""),"-",IF(OR('TM-21 Inputs'!Q16="",'TM-21 Inputs'!L16=""),"",IF(OR(AND('TM-21 Inputs'!$I$19&gt;=5952,'TM-21 Inputs'!$I$19&lt;=10000,'TM-21 Inputs'!Q16&gt;='TM-21 Inputs'!$I$19-5096),AND('TM-21 Inputs'!$I$19&gt;10000,OR('TM-21 Inputs'!Q16&gt;=0.5*'TM-21 Inputs'!$I$19,'TM-21 Inputs'!Q16=SMALL('TM-21 Inputs'!$Q$10:$Q$49,COUNTIF('TM-21 Inputs'!$Q$10:$Q$49,"&lt;"&amp;(0.5*'TM-21 Inputs'!$I$19)+1))))),'TM-21 Inputs'!Q16,"")))</f>
        <v>-</v>
      </c>
      <c r="F12" s="3">
        <f>IF(E12="","",'TM-21 Inputs'!R16)</f>
        <v>0</v>
      </c>
      <c r="G12" s="10" t="e">
        <f t="shared" si="1"/>
        <v>#NUM!</v>
      </c>
      <c r="H12" s="13" t="e">
        <f t="shared" si="2"/>
        <v>#NUM!</v>
      </c>
      <c r="I12" s="17" t="e">
        <f t="shared" si="3"/>
        <v>#VALUE!</v>
      </c>
      <c r="J12" s="18" t="e">
        <f t="shared" si="4"/>
        <v>#VALUE!</v>
      </c>
    </row>
    <row r="13" spans="3:10" x14ac:dyDescent="0.3">
      <c r="C13" s="5" t="e">
        <f t="shared" si="5"/>
        <v>#VALUE!</v>
      </c>
      <c r="D13" s="5" t="e">
        <f t="shared" si="0"/>
        <v>#VALUE!</v>
      </c>
      <c r="E13" s="7" t="str">
        <f>IF(OR('TM-21 Inputs'!$I$19="",'TM-21 Inputs'!$I$21=""),"-",IF(OR('TM-21 Inputs'!Q17="",'TM-21 Inputs'!L17=""),"",IF(OR(AND('TM-21 Inputs'!$I$19&gt;=5952,'TM-21 Inputs'!$I$19&lt;=10000,'TM-21 Inputs'!Q17&gt;='TM-21 Inputs'!$I$19-5096),AND('TM-21 Inputs'!$I$19&gt;10000,OR('TM-21 Inputs'!Q17&gt;=0.5*'TM-21 Inputs'!$I$19,'TM-21 Inputs'!Q17=SMALL('TM-21 Inputs'!$Q$10:$Q$49,COUNTIF('TM-21 Inputs'!$Q$10:$Q$49,"&lt;"&amp;(0.5*'TM-21 Inputs'!$I$19)+1))))),'TM-21 Inputs'!Q17,"")))</f>
        <v>-</v>
      </c>
      <c r="F13" s="3">
        <f>IF(E13="","",'TM-21 Inputs'!R17)</f>
        <v>0</v>
      </c>
      <c r="G13" s="10" t="e">
        <f t="shared" si="1"/>
        <v>#NUM!</v>
      </c>
      <c r="H13" s="13" t="e">
        <f t="shared" si="2"/>
        <v>#NUM!</v>
      </c>
      <c r="I13" s="17" t="e">
        <f t="shared" si="3"/>
        <v>#VALUE!</v>
      </c>
      <c r="J13" s="18" t="e">
        <f t="shared" si="4"/>
        <v>#VALUE!</v>
      </c>
    </row>
    <row r="14" spans="3:10" x14ac:dyDescent="0.3">
      <c r="C14" s="5" t="e">
        <f t="shared" si="5"/>
        <v>#VALUE!</v>
      </c>
      <c r="D14" s="5" t="e">
        <f t="shared" si="0"/>
        <v>#VALUE!</v>
      </c>
      <c r="E14" s="7" t="str">
        <f>IF(OR('TM-21 Inputs'!$I$19="",'TM-21 Inputs'!$I$21=""),"-",IF(OR('TM-21 Inputs'!Q18="",'TM-21 Inputs'!L18=""),"",IF(OR(AND('TM-21 Inputs'!$I$19&gt;=5952,'TM-21 Inputs'!$I$19&lt;=10000,'TM-21 Inputs'!Q18&gt;='TM-21 Inputs'!$I$19-5096),AND('TM-21 Inputs'!$I$19&gt;10000,OR('TM-21 Inputs'!Q18&gt;=0.5*'TM-21 Inputs'!$I$19,'TM-21 Inputs'!Q18=SMALL('TM-21 Inputs'!$Q$10:$Q$49,COUNTIF('TM-21 Inputs'!$Q$10:$Q$49,"&lt;"&amp;(0.5*'TM-21 Inputs'!$I$19)+1))))),'TM-21 Inputs'!Q18,"")))</f>
        <v>-</v>
      </c>
      <c r="F14" s="3">
        <f>IF(E14="","",'TM-21 Inputs'!R18)</f>
        <v>0</v>
      </c>
      <c r="G14" s="10" t="e">
        <f t="shared" si="1"/>
        <v>#NUM!</v>
      </c>
      <c r="H14" s="13" t="e">
        <f t="shared" si="2"/>
        <v>#NUM!</v>
      </c>
      <c r="I14" s="17" t="e">
        <f t="shared" si="3"/>
        <v>#VALUE!</v>
      </c>
      <c r="J14" s="18" t="e">
        <f t="shared" si="4"/>
        <v>#VALUE!</v>
      </c>
    </row>
    <row r="15" spans="3:10" x14ac:dyDescent="0.3">
      <c r="C15" s="5" t="e">
        <f t="shared" si="5"/>
        <v>#VALUE!</v>
      </c>
      <c r="D15" s="5" t="e">
        <f t="shared" si="0"/>
        <v>#VALUE!</v>
      </c>
      <c r="E15" s="7" t="str">
        <f>IF(OR('TM-21 Inputs'!$I$19="",'TM-21 Inputs'!$I$21=""),"-",IF(OR('TM-21 Inputs'!Q19="",'TM-21 Inputs'!L19=""),"",IF(OR(AND('TM-21 Inputs'!$I$19&gt;=5952,'TM-21 Inputs'!$I$19&lt;=10000,'TM-21 Inputs'!Q19&gt;='TM-21 Inputs'!$I$19-5096),AND('TM-21 Inputs'!$I$19&gt;10000,OR('TM-21 Inputs'!Q19&gt;=0.5*'TM-21 Inputs'!$I$19,'TM-21 Inputs'!Q19=SMALL('TM-21 Inputs'!$Q$10:$Q$49,COUNTIF('TM-21 Inputs'!$Q$10:$Q$49,"&lt;"&amp;(0.5*'TM-21 Inputs'!$I$19)+1))))),'TM-21 Inputs'!Q19,"")))</f>
        <v>-</v>
      </c>
      <c r="F15" s="3">
        <f>IF(E15="","",'TM-21 Inputs'!R19)</f>
        <v>0</v>
      </c>
      <c r="G15" s="10" t="e">
        <f t="shared" si="1"/>
        <v>#NUM!</v>
      </c>
      <c r="H15" s="13" t="e">
        <f t="shared" si="2"/>
        <v>#NUM!</v>
      </c>
      <c r="I15" s="17" t="e">
        <f t="shared" si="3"/>
        <v>#VALUE!</v>
      </c>
      <c r="J15" s="18" t="e">
        <f t="shared" si="4"/>
        <v>#VALUE!</v>
      </c>
    </row>
    <row r="16" spans="3:10" x14ac:dyDescent="0.3">
      <c r="C16" s="5" t="e">
        <f t="shared" si="5"/>
        <v>#VALUE!</v>
      </c>
      <c r="D16" s="5" t="e">
        <f t="shared" si="0"/>
        <v>#VALUE!</v>
      </c>
      <c r="E16" s="7" t="str">
        <f>IF(OR('TM-21 Inputs'!$I$19="",'TM-21 Inputs'!$I$21=""),"-",IF(OR('TM-21 Inputs'!Q20="",'TM-21 Inputs'!L20=""),"",IF(OR(AND('TM-21 Inputs'!$I$19&gt;=5952,'TM-21 Inputs'!$I$19&lt;=10000,'TM-21 Inputs'!Q20&gt;='TM-21 Inputs'!$I$19-5096),AND('TM-21 Inputs'!$I$19&gt;10000,OR('TM-21 Inputs'!Q20&gt;=0.5*'TM-21 Inputs'!$I$19,'TM-21 Inputs'!Q20=SMALL('TM-21 Inputs'!$Q$10:$Q$49,COUNTIF('TM-21 Inputs'!$Q$10:$Q$49,"&lt;"&amp;(0.5*'TM-21 Inputs'!$I$19)+1))))),'TM-21 Inputs'!Q20,"")))</f>
        <v>-</v>
      </c>
      <c r="F16" s="3">
        <f>IF(E16="","",'TM-21 Inputs'!R20)</f>
        <v>0</v>
      </c>
      <c r="G16" s="10" t="e">
        <f t="shared" si="1"/>
        <v>#NUM!</v>
      </c>
      <c r="H16" s="13" t="e">
        <f t="shared" si="2"/>
        <v>#NUM!</v>
      </c>
      <c r="I16" s="17" t="e">
        <f t="shared" si="3"/>
        <v>#VALUE!</v>
      </c>
      <c r="J16" s="18" t="e">
        <f t="shared" si="4"/>
        <v>#VALUE!</v>
      </c>
    </row>
    <row r="17" spans="3:10" x14ac:dyDescent="0.3">
      <c r="C17" s="5" t="e">
        <f t="shared" si="5"/>
        <v>#VALUE!</v>
      </c>
      <c r="D17" s="5" t="e">
        <f t="shared" si="0"/>
        <v>#VALUE!</v>
      </c>
      <c r="E17" s="7" t="str">
        <f>IF(OR('TM-21 Inputs'!$I$19="",'TM-21 Inputs'!$I$21=""),"-",IF(OR('TM-21 Inputs'!Q21="",'TM-21 Inputs'!L21=""),"",IF(OR(AND('TM-21 Inputs'!$I$19&gt;=5952,'TM-21 Inputs'!$I$19&lt;=10000,'TM-21 Inputs'!Q21&gt;='TM-21 Inputs'!$I$19-5096),AND('TM-21 Inputs'!$I$19&gt;10000,OR('TM-21 Inputs'!Q21&gt;=0.5*'TM-21 Inputs'!$I$19,'TM-21 Inputs'!Q21=SMALL('TM-21 Inputs'!$Q$10:$Q$49,COUNTIF('TM-21 Inputs'!$Q$10:$Q$49,"&lt;"&amp;(0.5*'TM-21 Inputs'!$I$19)+1))))),'TM-21 Inputs'!Q21,"")))</f>
        <v>-</v>
      </c>
      <c r="F17" s="3">
        <f>IF(E17="","",'TM-21 Inputs'!R21)</f>
        <v>0</v>
      </c>
      <c r="G17" s="10" t="e">
        <f t="shared" si="1"/>
        <v>#NUM!</v>
      </c>
      <c r="H17" s="13" t="e">
        <f t="shared" si="2"/>
        <v>#NUM!</v>
      </c>
      <c r="I17" s="17" t="e">
        <f t="shared" si="3"/>
        <v>#VALUE!</v>
      </c>
      <c r="J17" s="18" t="e">
        <f t="shared" si="4"/>
        <v>#VALUE!</v>
      </c>
    </row>
    <row r="18" spans="3:10" x14ac:dyDescent="0.3">
      <c r="C18" s="5" t="e">
        <f t="shared" si="5"/>
        <v>#VALUE!</v>
      </c>
      <c r="D18" s="5" t="e">
        <f t="shared" si="0"/>
        <v>#VALUE!</v>
      </c>
      <c r="E18" s="7" t="str">
        <f>IF(OR('TM-21 Inputs'!$I$19="",'TM-21 Inputs'!$I$21=""),"-",IF(OR('TM-21 Inputs'!Q22="",'TM-21 Inputs'!L22=""),"",IF(OR(AND('TM-21 Inputs'!$I$19&gt;=5952,'TM-21 Inputs'!$I$19&lt;=10000,'TM-21 Inputs'!Q22&gt;='TM-21 Inputs'!$I$19-5096),AND('TM-21 Inputs'!$I$19&gt;10000,OR('TM-21 Inputs'!Q22&gt;=0.5*'TM-21 Inputs'!$I$19,'TM-21 Inputs'!Q22=SMALL('TM-21 Inputs'!$Q$10:$Q$49,COUNTIF('TM-21 Inputs'!$Q$10:$Q$49,"&lt;"&amp;(0.5*'TM-21 Inputs'!$I$19)+1))))),'TM-21 Inputs'!Q22,"")))</f>
        <v>-</v>
      </c>
      <c r="F18" s="3">
        <f>IF(E18="","",'TM-21 Inputs'!R22)</f>
        <v>0</v>
      </c>
      <c r="G18" s="10" t="e">
        <f t="shared" si="1"/>
        <v>#NUM!</v>
      </c>
      <c r="H18" s="13" t="e">
        <f t="shared" si="2"/>
        <v>#NUM!</v>
      </c>
      <c r="I18" s="17" t="e">
        <f t="shared" si="3"/>
        <v>#VALUE!</v>
      </c>
      <c r="J18" s="18" t="e">
        <f t="shared" si="4"/>
        <v>#VALUE!</v>
      </c>
    </row>
    <row r="19" spans="3:10" x14ac:dyDescent="0.3">
      <c r="C19" s="5" t="e">
        <f t="shared" si="5"/>
        <v>#VALUE!</v>
      </c>
      <c r="D19" s="5" t="e">
        <f t="shared" si="0"/>
        <v>#VALUE!</v>
      </c>
      <c r="E19" s="7" t="str">
        <f>IF(OR('TM-21 Inputs'!$I$19="",'TM-21 Inputs'!$I$21=""),"-",IF(OR('TM-21 Inputs'!Q23="",'TM-21 Inputs'!L23=""),"",IF(OR(AND('TM-21 Inputs'!$I$19&gt;=5952,'TM-21 Inputs'!$I$19&lt;=10000,'TM-21 Inputs'!Q23&gt;='TM-21 Inputs'!$I$19-5096),AND('TM-21 Inputs'!$I$19&gt;10000,OR('TM-21 Inputs'!Q23&gt;=0.5*'TM-21 Inputs'!$I$19,'TM-21 Inputs'!Q23=SMALL('TM-21 Inputs'!$Q$10:$Q$49,COUNTIF('TM-21 Inputs'!$Q$10:$Q$49,"&lt;"&amp;(0.5*'TM-21 Inputs'!$I$19)+1))))),'TM-21 Inputs'!Q23,"")))</f>
        <v>-</v>
      </c>
      <c r="F19" s="3">
        <f>IF(E19="","",'TM-21 Inputs'!R23)</f>
        <v>0</v>
      </c>
      <c r="G19" s="10" t="e">
        <f t="shared" si="1"/>
        <v>#NUM!</v>
      </c>
      <c r="H19" s="13" t="e">
        <f t="shared" si="2"/>
        <v>#NUM!</v>
      </c>
      <c r="I19" s="17" t="e">
        <f t="shared" si="3"/>
        <v>#VALUE!</v>
      </c>
      <c r="J19" s="18" t="e">
        <f t="shared" si="4"/>
        <v>#VALUE!</v>
      </c>
    </row>
    <row r="20" spans="3:10" x14ac:dyDescent="0.3">
      <c r="C20" s="5" t="e">
        <f t="shared" si="5"/>
        <v>#VALUE!</v>
      </c>
      <c r="D20" s="5" t="e">
        <f t="shared" si="0"/>
        <v>#VALUE!</v>
      </c>
      <c r="E20" s="7" t="str">
        <f>IF(OR('TM-21 Inputs'!$I$19="",'TM-21 Inputs'!$I$21=""),"-",IF(OR('TM-21 Inputs'!Q24="",'TM-21 Inputs'!L24=""),"",IF(OR(AND('TM-21 Inputs'!$I$19&gt;=5952,'TM-21 Inputs'!$I$19&lt;=10000,'TM-21 Inputs'!Q24&gt;='TM-21 Inputs'!$I$19-5096),AND('TM-21 Inputs'!$I$19&gt;10000,OR('TM-21 Inputs'!Q24&gt;=0.5*'TM-21 Inputs'!$I$19,'TM-21 Inputs'!Q24=SMALL('TM-21 Inputs'!$Q$10:$Q$49,COUNTIF('TM-21 Inputs'!$Q$10:$Q$49,"&lt;"&amp;(0.5*'TM-21 Inputs'!$I$19)+1))))),'TM-21 Inputs'!Q24,"")))</f>
        <v>-</v>
      </c>
      <c r="F20" s="3">
        <f>IF(E20="","",'TM-21 Inputs'!R24)</f>
        <v>0</v>
      </c>
      <c r="G20" s="10" t="e">
        <f t="shared" si="1"/>
        <v>#NUM!</v>
      </c>
      <c r="H20" s="13" t="e">
        <f t="shared" si="2"/>
        <v>#NUM!</v>
      </c>
      <c r="I20" s="17" t="e">
        <f t="shared" si="3"/>
        <v>#VALUE!</v>
      </c>
      <c r="J20" s="18" t="e">
        <f t="shared" si="4"/>
        <v>#VALUE!</v>
      </c>
    </row>
    <row r="21" spans="3:10" x14ac:dyDescent="0.3">
      <c r="C21" s="5" t="e">
        <f t="shared" si="5"/>
        <v>#VALUE!</v>
      </c>
      <c r="D21" s="5" t="e">
        <f t="shared" si="0"/>
        <v>#VALUE!</v>
      </c>
      <c r="E21" s="7" t="str">
        <f>IF(OR('TM-21 Inputs'!$I$19="",'TM-21 Inputs'!$I$21=""),"-",IF(OR('TM-21 Inputs'!Q25="",'TM-21 Inputs'!L25=""),"",IF(OR(AND('TM-21 Inputs'!$I$19&gt;=5952,'TM-21 Inputs'!$I$19&lt;=10000,'TM-21 Inputs'!Q25&gt;='TM-21 Inputs'!$I$19-5096),AND('TM-21 Inputs'!$I$19&gt;10000,OR('TM-21 Inputs'!Q25&gt;=0.5*'TM-21 Inputs'!$I$19,'TM-21 Inputs'!Q25=SMALL('TM-21 Inputs'!$Q$10:$Q$49,COUNTIF('TM-21 Inputs'!$Q$10:$Q$49,"&lt;"&amp;(0.5*'TM-21 Inputs'!$I$19)+1))))),'TM-21 Inputs'!Q25,"")))</f>
        <v>-</v>
      </c>
      <c r="F21" s="3">
        <f>IF(E21="","",'TM-21 Inputs'!R25)</f>
        <v>0</v>
      </c>
      <c r="G21" s="10" t="e">
        <f t="shared" si="1"/>
        <v>#NUM!</v>
      </c>
      <c r="H21" s="13" t="e">
        <f t="shared" si="2"/>
        <v>#NUM!</v>
      </c>
      <c r="I21" s="17" t="e">
        <f t="shared" si="3"/>
        <v>#VALUE!</v>
      </c>
      <c r="J21" s="18" t="e">
        <f t="shared" si="4"/>
        <v>#VALUE!</v>
      </c>
    </row>
    <row r="22" spans="3:10" x14ac:dyDescent="0.3">
      <c r="C22" s="5" t="e">
        <f t="shared" si="5"/>
        <v>#VALUE!</v>
      </c>
      <c r="D22" s="5" t="e">
        <f t="shared" si="0"/>
        <v>#VALUE!</v>
      </c>
      <c r="E22" s="7" t="str">
        <f>IF(OR('TM-21 Inputs'!$I$19="",'TM-21 Inputs'!$I$21=""),"-",IF(OR('TM-21 Inputs'!Q26="",'TM-21 Inputs'!L26=""),"",IF(OR(AND('TM-21 Inputs'!$I$19&gt;=5952,'TM-21 Inputs'!$I$19&lt;=10000,'TM-21 Inputs'!Q26&gt;='TM-21 Inputs'!$I$19-5096),AND('TM-21 Inputs'!$I$19&gt;10000,OR('TM-21 Inputs'!Q26&gt;=0.5*'TM-21 Inputs'!$I$19,'TM-21 Inputs'!Q26=SMALL('TM-21 Inputs'!$Q$10:$Q$49,COUNTIF('TM-21 Inputs'!$Q$10:$Q$49,"&lt;"&amp;(0.5*'TM-21 Inputs'!$I$19)+1))))),'TM-21 Inputs'!Q26,"")))</f>
        <v>-</v>
      </c>
      <c r="F22" s="3">
        <f>IF(E22="","",'TM-21 Inputs'!R26)</f>
        <v>0</v>
      </c>
      <c r="G22" s="10" t="e">
        <f t="shared" si="1"/>
        <v>#NUM!</v>
      </c>
      <c r="H22" s="13" t="e">
        <f t="shared" si="2"/>
        <v>#NUM!</v>
      </c>
      <c r="I22" s="17" t="e">
        <f t="shared" si="3"/>
        <v>#VALUE!</v>
      </c>
      <c r="J22" s="18" t="e">
        <f t="shared" si="4"/>
        <v>#VALUE!</v>
      </c>
    </row>
    <row r="23" spans="3:10" x14ac:dyDescent="0.3">
      <c r="C23" s="5" t="e">
        <f t="shared" si="5"/>
        <v>#VALUE!</v>
      </c>
      <c r="D23" s="5" t="e">
        <f t="shared" si="0"/>
        <v>#VALUE!</v>
      </c>
      <c r="E23" s="7" t="str">
        <f>IF(OR('TM-21 Inputs'!$I$19="",'TM-21 Inputs'!$I$21=""),"-",IF(OR('TM-21 Inputs'!Q27="",'TM-21 Inputs'!L27=""),"",IF(OR(AND('TM-21 Inputs'!$I$19&gt;=5952,'TM-21 Inputs'!$I$19&lt;=10000,'TM-21 Inputs'!Q27&gt;='TM-21 Inputs'!$I$19-5096),AND('TM-21 Inputs'!$I$19&gt;10000,OR('TM-21 Inputs'!Q27&gt;=0.5*'TM-21 Inputs'!$I$19,'TM-21 Inputs'!Q27=SMALL('TM-21 Inputs'!$Q$10:$Q$49,COUNTIF('TM-21 Inputs'!$Q$10:$Q$49,"&lt;"&amp;(0.5*'TM-21 Inputs'!$I$19)+1))))),'TM-21 Inputs'!Q27,"")))</f>
        <v>-</v>
      </c>
      <c r="F23" s="3">
        <f>IF(E23="","",'TM-21 Inputs'!R27)</f>
        <v>0</v>
      </c>
      <c r="G23" s="10" t="e">
        <f t="shared" si="1"/>
        <v>#NUM!</v>
      </c>
      <c r="H23" s="13" t="e">
        <f t="shared" si="2"/>
        <v>#NUM!</v>
      </c>
      <c r="I23" s="17" t="e">
        <f t="shared" si="3"/>
        <v>#VALUE!</v>
      </c>
      <c r="J23" s="18" t="e">
        <f t="shared" si="4"/>
        <v>#VALUE!</v>
      </c>
    </row>
    <row r="24" spans="3:10" x14ac:dyDescent="0.3">
      <c r="C24" s="5" t="e">
        <f t="shared" si="5"/>
        <v>#VALUE!</v>
      </c>
      <c r="D24" s="5" t="e">
        <f t="shared" si="0"/>
        <v>#VALUE!</v>
      </c>
      <c r="E24" s="7" t="str">
        <f>IF(OR('TM-21 Inputs'!$I$19="",'TM-21 Inputs'!$I$21=""),"-",IF(OR('TM-21 Inputs'!Q28="",'TM-21 Inputs'!L28=""),"",IF(OR(AND('TM-21 Inputs'!$I$19&gt;=5952,'TM-21 Inputs'!$I$19&lt;=10000,'TM-21 Inputs'!Q28&gt;='TM-21 Inputs'!$I$19-5096),AND('TM-21 Inputs'!$I$19&gt;10000,OR('TM-21 Inputs'!Q28&gt;=0.5*'TM-21 Inputs'!$I$19,'TM-21 Inputs'!Q28=SMALL('TM-21 Inputs'!$Q$10:$Q$49,COUNTIF('TM-21 Inputs'!$Q$10:$Q$49,"&lt;"&amp;(0.5*'TM-21 Inputs'!$I$19)+1))))),'TM-21 Inputs'!Q28,"")))</f>
        <v>-</v>
      </c>
      <c r="F24" s="3">
        <f>IF(E24="","",'TM-21 Inputs'!R28)</f>
        <v>0</v>
      </c>
      <c r="G24" s="10" t="e">
        <f t="shared" si="1"/>
        <v>#NUM!</v>
      </c>
      <c r="H24" s="13" t="e">
        <f t="shared" si="2"/>
        <v>#NUM!</v>
      </c>
      <c r="I24" s="17" t="e">
        <f t="shared" si="3"/>
        <v>#VALUE!</v>
      </c>
      <c r="J24" s="18" t="e">
        <f t="shared" si="4"/>
        <v>#VALUE!</v>
      </c>
    </row>
    <row r="25" spans="3:10" x14ac:dyDescent="0.3">
      <c r="C25" s="5" t="e">
        <f t="shared" si="5"/>
        <v>#VALUE!</v>
      </c>
      <c r="D25" s="5" t="e">
        <f t="shared" si="0"/>
        <v>#VALUE!</v>
      </c>
      <c r="E25" s="7" t="str">
        <f>IF(OR('TM-21 Inputs'!$I$19="",'TM-21 Inputs'!$I$21=""),"-",IF(OR('TM-21 Inputs'!Q29="",'TM-21 Inputs'!L29=""),"",IF(OR(AND('TM-21 Inputs'!$I$19&gt;=5952,'TM-21 Inputs'!$I$19&lt;=10000,'TM-21 Inputs'!Q29&gt;='TM-21 Inputs'!$I$19-5096),AND('TM-21 Inputs'!$I$19&gt;10000,OR('TM-21 Inputs'!Q29&gt;=0.5*'TM-21 Inputs'!$I$19,'TM-21 Inputs'!Q29=SMALL('TM-21 Inputs'!$Q$10:$Q$49,COUNTIF('TM-21 Inputs'!$Q$10:$Q$49,"&lt;"&amp;(0.5*'TM-21 Inputs'!$I$19)+1))))),'TM-21 Inputs'!Q29,"")))</f>
        <v>-</v>
      </c>
      <c r="F25" s="3">
        <f>IF(E25="","",'TM-21 Inputs'!R29)</f>
        <v>0</v>
      </c>
      <c r="G25" s="10" t="e">
        <f t="shared" si="1"/>
        <v>#NUM!</v>
      </c>
      <c r="H25" s="13" t="e">
        <f t="shared" si="2"/>
        <v>#NUM!</v>
      </c>
      <c r="I25" s="17" t="e">
        <f t="shared" si="3"/>
        <v>#VALUE!</v>
      </c>
      <c r="J25" s="18" t="e">
        <f t="shared" si="4"/>
        <v>#VALUE!</v>
      </c>
    </row>
    <row r="26" spans="3:10" x14ac:dyDescent="0.3">
      <c r="C26" s="5" t="e">
        <f t="shared" ref="C26:C49" si="6">IF(OR(D25="",D26=""),"",ABS(D26-D25))</f>
        <v>#VALUE!</v>
      </c>
      <c r="D26" s="5" t="e">
        <f t="shared" ref="D26:D49" si="7">IF(OR(E25="",E26=""),"",E26-E25)</f>
        <v>#VALUE!</v>
      </c>
      <c r="E26" s="7" t="str">
        <f>IF(OR('TM-21 Inputs'!$I$19="",'TM-21 Inputs'!$I$21=""),"-",IF(OR('TM-21 Inputs'!Q30="",'TM-21 Inputs'!L30=""),"",IF(OR(AND('TM-21 Inputs'!$I$19&gt;=5952,'TM-21 Inputs'!$I$19&lt;=10000,'TM-21 Inputs'!Q30&gt;='TM-21 Inputs'!$I$19-5096),AND('TM-21 Inputs'!$I$19&gt;10000,OR('TM-21 Inputs'!Q30&gt;=0.5*'TM-21 Inputs'!$I$19,'TM-21 Inputs'!Q30=SMALL('TM-21 Inputs'!$Q$10:$Q$49,COUNTIF('TM-21 Inputs'!$Q$10:$Q$49,"&lt;"&amp;(0.5*'TM-21 Inputs'!$I$19)+1))))),'TM-21 Inputs'!Q30,"")))</f>
        <v>-</v>
      </c>
      <c r="F26" s="3">
        <f>IF(E26="","",'TM-21 Inputs'!R30)</f>
        <v>0</v>
      </c>
      <c r="G26" s="10" t="e">
        <f t="shared" ref="G26:G49" si="8">IF(E26="","",LN(F26))</f>
        <v>#NUM!</v>
      </c>
      <c r="H26" s="13" t="e">
        <f t="shared" ref="H26:H49" si="9">IF(E26="","",(G26*E26))</f>
        <v>#NUM!</v>
      </c>
      <c r="I26" s="17" t="e">
        <f t="shared" ref="I26:I49" si="10">IF(E26="","",E26^2)</f>
        <v>#VALUE!</v>
      </c>
      <c r="J26" s="18" t="e">
        <f t="shared" ref="J26:J49" si="11">IF(E26="","",E26*G26)</f>
        <v>#VALUE!</v>
      </c>
    </row>
    <row r="27" spans="3:10" x14ac:dyDescent="0.3">
      <c r="C27" s="5" t="e">
        <f t="shared" si="6"/>
        <v>#VALUE!</v>
      </c>
      <c r="D27" s="5" t="e">
        <f t="shared" si="7"/>
        <v>#VALUE!</v>
      </c>
      <c r="E27" s="7" t="str">
        <f>IF(OR('TM-21 Inputs'!$I$19="",'TM-21 Inputs'!$I$21=""),"-",IF(OR('TM-21 Inputs'!Q31="",'TM-21 Inputs'!L31=""),"",IF(OR(AND('TM-21 Inputs'!$I$19&gt;=5952,'TM-21 Inputs'!$I$19&lt;=10000,'TM-21 Inputs'!Q31&gt;='TM-21 Inputs'!$I$19-5096),AND('TM-21 Inputs'!$I$19&gt;10000,OR('TM-21 Inputs'!Q31&gt;=0.5*'TM-21 Inputs'!$I$19,'TM-21 Inputs'!Q31=SMALL('TM-21 Inputs'!$Q$10:$Q$49,COUNTIF('TM-21 Inputs'!$Q$10:$Q$49,"&lt;"&amp;(0.5*'TM-21 Inputs'!$I$19)+1))))),'TM-21 Inputs'!Q31,"")))</f>
        <v>-</v>
      </c>
      <c r="F27" s="3">
        <f>IF(E27="","",'TM-21 Inputs'!R31)</f>
        <v>0</v>
      </c>
      <c r="G27" s="10" t="e">
        <f t="shared" si="8"/>
        <v>#NUM!</v>
      </c>
      <c r="H27" s="13" t="e">
        <f t="shared" si="9"/>
        <v>#NUM!</v>
      </c>
      <c r="I27" s="17" t="e">
        <f t="shared" si="10"/>
        <v>#VALUE!</v>
      </c>
      <c r="J27" s="18" t="e">
        <f t="shared" si="11"/>
        <v>#VALUE!</v>
      </c>
    </row>
    <row r="28" spans="3:10" x14ac:dyDescent="0.3">
      <c r="C28" s="5" t="e">
        <f t="shared" si="6"/>
        <v>#VALUE!</v>
      </c>
      <c r="D28" s="5" t="e">
        <f t="shared" si="7"/>
        <v>#VALUE!</v>
      </c>
      <c r="E28" s="7" t="str">
        <f>IF(OR('TM-21 Inputs'!$I$19="",'TM-21 Inputs'!$I$21=""),"-",IF(OR('TM-21 Inputs'!Q32="",'TM-21 Inputs'!L32=""),"",IF(OR(AND('TM-21 Inputs'!$I$19&gt;=5952,'TM-21 Inputs'!$I$19&lt;=10000,'TM-21 Inputs'!Q32&gt;='TM-21 Inputs'!$I$19-5096),AND('TM-21 Inputs'!$I$19&gt;10000,OR('TM-21 Inputs'!Q32&gt;=0.5*'TM-21 Inputs'!$I$19,'TM-21 Inputs'!Q32=SMALL('TM-21 Inputs'!$Q$10:$Q$49,COUNTIF('TM-21 Inputs'!$Q$10:$Q$49,"&lt;"&amp;(0.5*'TM-21 Inputs'!$I$19)+1))))),'TM-21 Inputs'!Q32,"")))</f>
        <v>-</v>
      </c>
      <c r="F28" s="3">
        <f>IF(E28="","",'TM-21 Inputs'!R32)</f>
        <v>0</v>
      </c>
      <c r="G28" s="10" t="e">
        <f t="shared" si="8"/>
        <v>#NUM!</v>
      </c>
      <c r="H28" s="13" t="e">
        <f t="shared" si="9"/>
        <v>#NUM!</v>
      </c>
      <c r="I28" s="17" t="e">
        <f t="shared" si="10"/>
        <v>#VALUE!</v>
      </c>
      <c r="J28" s="18" t="e">
        <f t="shared" si="11"/>
        <v>#VALUE!</v>
      </c>
    </row>
    <row r="29" spans="3:10" x14ac:dyDescent="0.3">
      <c r="C29" s="5" t="e">
        <f t="shared" si="6"/>
        <v>#VALUE!</v>
      </c>
      <c r="D29" s="5" t="e">
        <f t="shared" si="7"/>
        <v>#VALUE!</v>
      </c>
      <c r="E29" s="7" t="str">
        <f>IF(OR('TM-21 Inputs'!$I$19="",'TM-21 Inputs'!$I$21=""),"-",IF(OR('TM-21 Inputs'!Q33="",'TM-21 Inputs'!L33=""),"",IF(OR(AND('TM-21 Inputs'!$I$19&gt;=5952,'TM-21 Inputs'!$I$19&lt;=10000,'TM-21 Inputs'!Q33&gt;='TM-21 Inputs'!$I$19-5096),AND('TM-21 Inputs'!$I$19&gt;10000,OR('TM-21 Inputs'!Q33&gt;=0.5*'TM-21 Inputs'!$I$19,'TM-21 Inputs'!Q33=SMALL('TM-21 Inputs'!$Q$10:$Q$49,COUNTIF('TM-21 Inputs'!$Q$10:$Q$49,"&lt;"&amp;(0.5*'TM-21 Inputs'!$I$19)+1))))),'TM-21 Inputs'!Q33,"")))</f>
        <v>-</v>
      </c>
      <c r="F29" s="3">
        <f>IF(E29="","",'TM-21 Inputs'!R33)</f>
        <v>0</v>
      </c>
      <c r="G29" s="10" t="e">
        <f t="shared" si="8"/>
        <v>#NUM!</v>
      </c>
      <c r="H29" s="13" t="e">
        <f t="shared" si="9"/>
        <v>#NUM!</v>
      </c>
      <c r="I29" s="17" t="e">
        <f t="shared" si="10"/>
        <v>#VALUE!</v>
      </c>
      <c r="J29" s="18" t="e">
        <f t="shared" si="11"/>
        <v>#VALUE!</v>
      </c>
    </row>
    <row r="30" spans="3:10" x14ac:dyDescent="0.3">
      <c r="C30" s="5" t="e">
        <f t="shared" si="6"/>
        <v>#VALUE!</v>
      </c>
      <c r="D30" s="5" t="e">
        <f t="shared" si="7"/>
        <v>#VALUE!</v>
      </c>
      <c r="E30" s="7" t="str">
        <f>IF(OR('TM-21 Inputs'!$I$19="",'TM-21 Inputs'!$I$21=""),"-",IF(OR('TM-21 Inputs'!Q34="",'TM-21 Inputs'!L34=""),"",IF(OR(AND('TM-21 Inputs'!$I$19&gt;=5952,'TM-21 Inputs'!$I$19&lt;=10000,'TM-21 Inputs'!Q34&gt;='TM-21 Inputs'!$I$19-5096),AND('TM-21 Inputs'!$I$19&gt;10000,OR('TM-21 Inputs'!Q34&gt;=0.5*'TM-21 Inputs'!$I$19,'TM-21 Inputs'!Q34=SMALL('TM-21 Inputs'!$Q$10:$Q$49,COUNTIF('TM-21 Inputs'!$Q$10:$Q$49,"&lt;"&amp;(0.5*'TM-21 Inputs'!$I$19)+1))))),'TM-21 Inputs'!Q34,"")))</f>
        <v>-</v>
      </c>
      <c r="F30" s="3">
        <f>IF(E30="","",'TM-21 Inputs'!R34)</f>
        <v>0</v>
      </c>
      <c r="G30" s="10" t="e">
        <f t="shared" si="8"/>
        <v>#NUM!</v>
      </c>
      <c r="H30" s="13" t="e">
        <f t="shared" si="9"/>
        <v>#NUM!</v>
      </c>
      <c r="I30" s="17" t="e">
        <f t="shared" si="10"/>
        <v>#VALUE!</v>
      </c>
      <c r="J30" s="18" t="e">
        <f t="shared" si="11"/>
        <v>#VALUE!</v>
      </c>
    </row>
    <row r="31" spans="3:10" x14ac:dyDescent="0.3">
      <c r="C31" s="5" t="e">
        <f t="shared" si="6"/>
        <v>#VALUE!</v>
      </c>
      <c r="D31" s="5" t="e">
        <f t="shared" si="7"/>
        <v>#VALUE!</v>
      </c>
      <c r="E31" s="7" t="str">
        <f>IF(OR('TM-21 Inputs'!$I$19="",'TM-21 Inputs'!$I$21=""),"-",IF(OR('TM-21 Inputs'!Q35="",'TM-21 Inputs'!L35=""),"",IF(OR(AND('TM-21 Inputs'!$I$19&gt;=5952,'TM-21 Inputs'!$I$19&lt;=10000,'TM-21 Inputs'!Q35&gt;='TM-21 Inputs'!$I$19-5096),AND('TM-21 Inputs'!$I$19&gt;10000,OR('TM-21 Inputs'!Q35&gt;=0.5*'TM-21 Inputs'!$I$19,'TM-21 Inputs'!Q35=SMALL('TM-21 Inputs'!$Q$10:$Q$49,COUNTIF('TM-21 Inputs'!$Q$10:$Q$49,"&lt;"&amp;(0.5*'TM-21 Inputs'!$I$19)+1))))),'TM-21 Inputs'!Q35,"")))</f>
        <v>-</v>
      </c>
      <c r="F31" s="3">
        <f>IF(E31="","",'TM-21 Inputs'!R35)</f>
        <v>0</v>
      </c>
      <c r="G31" s="10" t="e">
        <f t="shared" si="8"/>
        <v>#NUM!</v>
      </c>
      <c r="H31" s="13" t="e">
        <f t="shared" si="9"/>
        <v>#NUM!</v>
      </c>
      <c r="I31" s="17" t="e">
        <f t="shared" si="10"/>
        <v>#VALUE!</v>
      </c>
      <c r="J31" s="18" t="e">
        <f t="shared" si="11"/>
        <v>#VALUE!</v>
      </c>
    </row>
    <row r="32" spans="3:10" x14ac:dyDescent="0.3">
      <c r="C32" s="5" t="e">
        <f t="shared" si="6"/>
        <v>#VALUE!</v>
      </c>
      <c r="D32" s="5" t="e">
        <f t="shared" si="7"/>
        <v>#VALUE!</v>
      </c>
      <c r="E32" s="7" t="str">
        <f>IF(OR('TM-21 Inputs'!$I$19="",'TM-21 Inputs'!$I$21=""),"-",IF(OR('TM-21 Inputs'!Q36="",'TM-21 Inputs'!L36=""),"",IF(OR(AND('TM-21 Inputs'!$I$19&gt;=5952,'TM-21 Inputs'!$I$19&lt;=10000,'TM-21 Inputs'!Q36&gt;='TM-21 Inputs'!$I$19-5096),AND('TM-21 Inputs'!$I$19&gt;10000,OR('TM-21 Inputs'!Q36&gt;=0.5*'TM-21 Inputs'!$I$19,'TM-21 Inputs'!Q36=SMALL('TM-21 Inputs'!$Q$10:$Q$49,COUNTIF('TM-21 Inputs'!$Q$10:$Q$49,"&lt;"&amp;(0.5*'TM-21 Inputs'!$I$19)+1))))),'TM-21 Inputs'!Q36,"")))</f>
        <v>-</v>
      </c>
      <c r="F32" s="3">
        <f>IF(E32="","",'TM-21 Inputs'!R36)</f>
        <v>0</v>
      </c>
      <c r="G32" s="10" t="e">
        <f t="shared" si="8"/>
        <v>#NUM!</v>
      </c>
      <c r="H32" s="13" t="e">
        <f t="shared" si="9"/>
        <v>#NUM!</v>
      </c>
      <c r="I32" s="17" t="e">
        <f t="shared" si="10"/>
        <v>#VALUE!</v>
      </c>
      <c r="J32" s="18" t="e">
        <f t="shared" si="11"/>
        <v>#VALUE!</v>
      </c>
    </row>
    <row r="33" spans="3:10" x14ac:dyDescent="0.3">
      <c r="C33" s="5" t="e">
        <f t="shared" si="6"/>
        <v>#VALUE!</v>
      </c>
      <c r="D33" s="5" t="e">
        <f t="shared" si="7"/>
        <v>#VALUE!</v>
      </c>
      <c r="E33" s="7" t="str">
        <f>IF(OR('TM-21 Inputs'!$I$19="",'TM-21 Inputs'!$I$21=""),"-",IF(OR('TM-21 Inputs'!Q37="",'TM-21 Inputs'!L37=""),"",IF(OR(AND('TM-21 Inputs'!$I$19&gt;=5952,'TM-21 Inputs'!$I$19&lt;=10000,'TM-21 Inputs'!Q37&gt;='TM-21 Inputs'!$I$19-5096),AND('TM-21 Inputs'!$I$19&gt;10000,OR('TM-21 Inputs'!Q37&gt;=0.5*'TM-21 Inputs'!$I$19,'TM-21 Inputs'!Q37=SMALL('TM-21 Inputs'!$Q$10:$Q$49,COUNTIF('TM-21 Inputs'!$Q$10:$Q$49,"&lt;"&amp;(0.5*'TM-21 Inputs'!$I$19)+1))))),'TM-21 Inputs'!Q37,"")))</f>
        <v>-</v>
      </c>
      <c r="F33" s="3">
        <f>IF(E33="","",'TM-21 Inputs'!R37)</f>
        <v>0</v>
      </c>
      <c r="G33" s="10" t="e">
        <f t="shared" si="8"/>
        <v>#NUM!</v>
      </c>
      <c r="H33" s="13" t="e">
        <f t="shared" si="9"/>
        <v>#NUM!</v>
      </c>
      <c r="I33" s="17" t="e">
        <f t="shared" si="10"/>
        <v>#VALUE!</v>
      </c>
      <c r="J33" s="18" t="e">
        <f t="shared" si="11"/>
        <v>#VALUE!</v>
      </c>
    </row>
    <row r="34" spans="3:10" x14ac:dyDescent="0.3">
      <c r="C34" s="5" t="e">
        <f t="shared" si="6"/>
        <v>#VALUE!</v>
      </c>
      <c r="D34" s="5" t="e">
        <f t="shared" si="7"/>
        <v>#VALUE!</v>
      </c>
      <c r="E34" s="7" t="str">
        <f>IF(OR('TM-21 Inputs'!$I$19="",'TM-21 Inputs'!$I$21=""),"-",IF(OR('TM-21 Inputs'!Q38="",'TM-21 Inputs'!L38=""),"",IF(OR(AND('TM-21 Inputs'!$I$19&gt;=5952,'TM-21 Inputs'!$I$19&lt;=10000,'TM-21 Inputs'!Q38&gt;='TM-21 Inputs'!$I$19-5096),AND('TM-21 Inputs'!$I$19&gt;10000,OR('TM-21 Inputs'!Q38&gt;=0.5*'TM-21 Inputs'!$I$19,'TM-21 Inputs'!Q38=SMALL('TM-21 Inputs'!$Q$10:$Q$49,COUNTIF('TM-21 Inputs'!$Q$10:$Q$49,"&lt;"&amp;(0.5*'TM-21 Inputs'!$I$19)+1))))),'TM-21 Inputs'!Q38,"")))</f>
        <v>-</v>
      </c>
      <c r="F34" s="3">
        <f>IF(E34="","",'TM-21 Inputs'!R38)</f>
        <v>0</v>
      </c>
      <c r="G34" s="10" t="e">
        <f t="shared" si="8"/>
        <v>#NUM!</v>
      </c>
      <c r="H34" s="13" t="e">
        <f t="shared" si="9"/>
        <v>#NUM!</v>
      </c>
      <c r="I34" s="17" t="e">
        <f t="shared" si="10"/>
        <v>#VALUE!</v>
      </c>
      <c r="J34" s="18" t="e">
        <f t="shared" si="11"/>
        <v>#VALUE!</v>
      </c>
    </row>
    <row r="35" spans="3:10" x14ac:dyDescent="0.3">
      <c r="C35" s="5" t="e">
        <f t="shared" si="6"/>
        <v>#VALUE!</v>
      </c>
      <c r="D35" s="5" t="e">
        <f t="shared" si="7"/>
        <v>#VALUE!</v>
      </c>
      <c r="E35" s="7" t="str">
        <f>IF(OR('TM-21 Inputs'!$I$19="",'TM-21 Inputs'!$I$21=""),"-",IF(OR('TM-21 Inputs'!Q39="",'TM-21 Inputs'!L39=""),"",IF(OR(AND('TM-21 Inputs'!$I$19&gt;=5952,'TM-21 Inputs'!$I$19&lt;=10000,'TM-21 Inputs'!Q39&gt;='TM-21 Inputs'!$I$19-5096),AND('TM-21 Inputs'!$I$19&gt;10000,OR('TM-21 Inputs'!Q39&gt;=0.5*'TM-21 Inputs'!$I$19,'TM-21 Inputs'!Q39=SMALL('TM-21 Inputs'!$Q$10:$Q$49,COUNTIF('TM-21 Inputs'!$Q$10:$Q$49,"&lt;"&amp;(0.5*'TM-21 Inputs'!$I$19)+1))))),'TM-21 Inputs'!Q39,"")))</f>
        <v>-</v>
      </c>
      <c r="F35" s="3">
        <f>IF(E35="","",'TM-21 Inputs'!R39)</f>
        <v>0</v>
      </c>
      <c r="G35" s="10" t="e">
        <f t="shared" si="8"/>
        <v>#NUM!</v>
      </c>
      <c r="H35" s="13" t="e">
        <f t="shared" si="9"/>
        <v>#NUM!</v>
      </c>
      <c r="I35" s="17" t="e">
        <f t="shared" si="10"/>
        <v>#VALUE!</v>
      </c>
      <c r="J35" s="18" t="e">
        <f t="shared" si="11"/>
        <v>#VALUE!</v>
      </c>
    </row>
    <row r="36" spans="3:10" x14ac:dyDescent="0.3">
      <c r="C36" s="5" t="e">
        <f t="shared" si="6"/>
        <v>#VALUE!</v>
      </c>
      <c r="D36" s="5" t="e">
        <f t="shared" si="7"/>
        <v>#VALUE!</v>
      </c>
      <c r="E36" s="7" t="str">
        <f>IF(OR('TM-21 Inputs'!$I$19="",'TM-21 Inputs'!$I$21=""),"-",IF(OR('TM-21 Inputs'!Q40="",'TM-21 Inputs'!L40=""),"",IF(OR(AND('TM-21 Inputs'!$I$19&gt;=5952,'TM-21 Inputs'!$I$19&lt;=10000,'TM-21 Inputs'!Q40&gt;='TM-21 Inputs'!$I$19-5096),AND('TM-21 Inputs'!$I$19&gt;10000,OR('TM-21 Inputs'!Q40&gt;=0.5*'TM-21 Inputs'!$I$19,'TM-21 Inputs'!Q40=SMALL('TM-21 Inputs'!$Q$10:$Q$49,COUNTIF('TM-21 Inputs'!$Q$10:$Q$49,"&lt;"&amp;(0.5*'TM-21 Inputs'!$I$19)+1))))),'TM-21 Inputs'!Q40,"")))</f>
        <v>-</v>
      </c>
      <c r="F36" s="3">
        <f>IF(E36="","",'TM-21 Inputs'!R40)</f>
        <v>0</v>
      </c>
      <c r="G36" s="10" t="e">
        <f t="shared" si="8"/>
        <v>#NUM!</v>
      </c>
      <c r="H36" s="13" t="e">
        <f t="shared" si="9"/>
        <v>#NUM!</v>
      </c>
      <c r="I36" s="17" t="e">
        <f t="shared" si="10"/>
        <v>#VALUE!</v>
      </c>
      <c r="J36" s="18" t="e">
        <f t="shared" si="11"/>
        <v>#VALUE!</v>
      </c>
    </row>
    <row r="37" spans="3:10" x14ac:dyDescent="0.3">
      <c r="C37" s="5" t="e">
        <f t="shared" si="6"/>
        <v>#VALUE!</v>
      </c>
      <c r="D37" s="5" t="e">
        <f t="shared" si="7"/>
        <v>#VALUE!</v>
      </c>
      <c r="E37" s="7" t="str">
        <f>IF(OR('TM-21 Inputs'!$I$19="",'TM-21 Inputs'!$I$21=""),"-",IF(OR('TM-21 Inputs'!Q41="",'TM-21 Inputs'!L41=""),"",IF(OR(AND('TM-21 Inputs'!$I$19&gt;=5952,'TM-21 Inputs'!$I$19&lt;=10000,'TM-21 Inputs'!Q41&gt;='TM-21 Inputs'!$I$19-5096),AND('TM-21 Inputs'!$I$19&gt;10000,OR('TM-21 Inputs'!Q41&gt;=0.5*'TM-21 Inputs'!$I$19,'TM-21 Inputs'!Q41=SMALL('TM-21 Inputs'!$Q$10:$Q$49,COUNTIF('TM-21 Inputs'!$Q$10:$Q$49,"&lt;"&amp;(0.5*'TM-21 Inputs'!$I$19)+1))))),'TM-21 Inputs'!Q41,"")))</f>
        <v>-</v>
      </c>
      <c r="F37" s="3">
        <f>IF(E37="","",'TM-21 Inputs'!R41)</f>
        <v>0</v>
      </c>
      <c r="G37" s="10" t="e">
        <f t="shared" si="8"/>
        <v>#NUM!</v>
      </c>
      <c r="H37" s="13" t="e">
        <f t="shared" si="9"/>
        <v>#NUM!</v>
      </c>
      <c r="I37" s="17" t="e">
        <f t="shared" si="10"/>
        <v>#VALUE!</v>
      </c>
      <c r="J37" s="18" t="e">
        <f t="shared" si="11"/>
        <v>#VALUE!</v>
      </c>
    </row>
    <row r="38" spans="3:10" x14ac:dyDescent="0.3">
      <c r="C38" s="5" t="e">
        <f t="shared" si="6"/>
        <v>#VALUE!</v>
      </c>
      <c r="D38" s="5" t="e">
        <f t="shared" si="7"/>
        <v>#VALUE!</v>
      </c>
      <c r="E38" s="7" t="str">
        <f>IF(OR('TM-21 Inputs'!$I$19="",'TM-21 Inputs'!$I$21=""),"-",IF(OR('TM-21 Inputs'!Q42="",'TM-21 Inputs'!L42=""),"",IF(OR(AND('TM-21 Inputs'!$I$19&gt;=5952,'TM-21 Inputs'!$I$19&lt;=10000,'TM-21 Inputs'!Q42&gt;='TM-21 Inputs'!$I$19-5096),AND('TM-21 Inputs'!$I$19&gt;10000,OR('TM-21 Inputs'!Q42&gt;=0.5*'TM-21 Inputs'!$I$19,'TM-21 Inputs'!Q42=SMALL('TM-21 Inputs'!$Q$10:$Q$49,COUNTIF('TM-21 Inputs'!$Q$10:$Q$49,"&lt;"&amp;(0.5*'TM-21 Inputs'!$I$19)+1))))),'TM-21 Inputs'!Q42,"")))</f>
        <v>-</v>
      </c>
      <c r="F38" s="3">
        <f>IF(E38="","",'TM-21 Inputs'!R42)</f>
        <v>0</v>
      </c>
      <c r="G38" s="10" t="e">
        <f t="shared" si="8"/>
        <v>#NUM!</v>
      </c>
      <c r="H38" s="13" t="e">
        <f t="shared" si="9"/>
        <v>#NUM!</v>
      </c>
      <c r="I38" s="17" t="e">
        <f t="shared" si="10"/>
        <v>#VALUE!</v>
      </c>
      <c r="J38" s="18" t="e">
        <f t="shared" si="11"/>
        <v>#VALUE!</v>
      </c>
    </row>
    <row r="39" spans="3:10" x14ac:dyDescent="0.3">
      <c r="C39" s="5" t="e">
        <f t="shared" si="6"/>
        <v>#VALUE!</v>
      </c>
      <c r="D39" s="5" t="e">
        <f t="shared" si="7"/>
        <v>#VALUE!</v>
      </c>
      <c r="E39" s="7" t="str">
        <f>IF(OR('TM-21 Inputs'!$I$19="",'TM-21 Inputs'!$I$21=""),"-",IF(OR('TM-21 Inputs'!Q43="",'TM-21 Inputs'!L43=""),"",IF(OR(AND('TM-21 Inputs'!$I$19&gt;=5952,'TM-21 Inputs'!$I$19&lt;=10000,'TM-21 Inputs'!Q43&gt;='TM-21 Inputs'!$I$19-5096),AND('TM-21 Inputs'!$I$19&gt;10000,OR('TM-21 Inputs'!Q43&gt;=0.5*'TM-21 Inputs'!$I$19,'TM-21 Inputs'!Q43=SMALL('TM-21 Inputs'!$Q$10:$Q$49,COUNTIF('TM-21 Inputs'!$Q$10:$Q$49,"&lt;"&amp;(0.5*'TM-21 Inputs'!$I$19)+1))))),'TM-21 Inputs'!Q43,"")))</f>
        <v>-</v>
      </c>
      <c r="F39" s="3">
        <f>IF(E39="","",'TM-21 Inputs'!R43)</f>
        <v>0</v>
      </c>
      <c r="G39" s="10" t="e">
        <f t="shared" si="8"/>
        <v>#NUM!</v>
      </c>
      <c r="H39" s="13" t="e">
        <f t="shared" si="9"/>
        <v>#NUM!</v>
      </c>
      <c r="I39" s="17" t="e">
        <f t="shared" si="10"/>
        <v>#VALUE!</v>
      </c>
      <c r="J39" s="18" t="e">
        <f t="shared" si="11"/>
        <v>#VALUE!</v>
      </c>
    </row>
    <row r="40" spans="3:10" x14ac:dyDescent="0.3">
      <c r="C40" s="5" t="e">
        <f t="shared" si="6"/>
        <v>#VALUE!</v>
      </c>
      <c r="D40" s="5" t="e">
        <f t="shared" si="7"/>
        <v>#VALUE!</v>
      </c>
      <c r="E40" s="7" t="str">
        <f>IF(OR('TM-21 Inputs'!$I$19="",'TM-21 Inputs'!$I$21=""),"-",IF(OR('TM-21 Inputs'!Q44="",'TM-21 Inputs'!L44=""),"",IF(OR(AND('TM-21 Inputs'!$I$19&gt;=5952,'TM-21 Inputs'!$I$19&lt;=10000,'TM-21 Inputs'!Q44&gt;='TM-21 Inputs'!$I$19-5096),AND('TM-21 Inputs'!$I$19&gt;10000,OR('TM-21 Inputs'!Q44&gt;=0.5*'TM-21 Inputs'!$I$19,'TM-21 Inputs'!Q44=SMALL('TM-21 Inputs'!$Q$10:$Q$49,COUNTIF('TM-21 Inputs'!$Q$10:$Q$49,"&lt;"&amp;(0.5*'TM-21 Inputs'!$I$19)+1))))),'TM-21 Inputs'!Q44,"")))</f>
        <v>-</v>
      </c>
      <c r="F40" s="3">
        <f>IF(E40="","",'TM-21 Inputs'!R44)</f>
        <v>0</v>
      </c>
      <c r="G40" s="10" t="e">
        <f t="shared" si="8"/>
        <v>#NUM!</v>
      </c>
      <c r="H40" s="13" t="e">
        <f t="shared" si="9"/>
        <v>#NUM!</v>
      </c>
      <c r="I40" s="17" t="e">
        <f t="shared" si="10"/>
        <v>#VALUE!</v>
      </c>
      <c r="J40" s="18" t="e">
        <f t="shared" si="11"/>
        <v>#VALUE!</v>
      </c>
    </row>
    <row r="41" spans="3:10" x14ac:dyDescent="0.3">
      <c r="C41" s="5" t="e">
        <f t="shared" si="6"/>
        <v>#VALUE!</v>
      </c>
      <c r="D41" s="5" t="e">
        <f t="shared" si="7"/>
        <v>#VALUE!</v>
      </c>
      <c r="E41" s="7" t="str">
        <f>IF(OR('TM-21 Inputs'!$I$19="",'TM-21 Inputs'!$I$21=""),"-",IF(OR('TM-21 Inputs'!Q45="",'TM-21 Inputs'!L45=""),"",IF(OR(AND('TM-21 Inputs'!$I$19&gt;=5952,'TM-21 Inputs'!$I$19&lt;=10000,'TM-21 Inputs'!Q45&gt;='TM-21 Inputs'!$I$19-5096),AND('TM-21 Inputs'!$I$19&gt;10000,OR('TM-21 Inputs'!Q45&gt;=0.5*'TM-21 Inputs'!$I$19,'TM-21 Inputs'!Q45=SMALL('TM-21 Inputs'!$Q$10:$Q$49,COUNTIF('TM-21 Inputs'!$Q$10:$Q$49,"&lt;"&amp;(0.5*'TM-21 Inputs'!$I$19)+1))))),'TM-21 Inputs'!Q45,"")))</f>
        <v>-</v>
      </c>
      <c r="F41" s="3">
        <f>IF(E41="","",'TM-21 Inputs'!R45)</f>
        <v>0</v>
      </c>
      <c r="G41" s="10" t="e">
        <f t="shared" si="8"/>
        <v>#NUM!</v>
      </c>
      <c r="H41" s="13" t="e">
        <f t="shared" si="9"/>
        <v>#NUM!</v>
      </c>
      <c r="I41" s="17" t="e">
        <f t="shared" si="10"/>
        <v>#VALUE!</v>
      </c>
      <c r="J41" s="18" t="e">
        <f t="shared" si="11"/>
        <v>#VALUE!</v>
      </c>
    </row>
    <row r="42" spans="3:10" x14ac:dyDescent="0.3">
      <c r="C42" s="5" t="e">
        <f t="shared" si="6"/>
        <v>#VALUE!</v>
      </c>
      <c r="D42" s="5" t="e">
        <f t="shared" si="7"/>
        <v>#VALUE!</v>
      </c>
      <c r="E42" s="7" t="str">
        <f>IF(OR('TM-21 Inputs'!$I$19="",'TM-21 Inputs'!$I$21=""),"-",IF(OR('TM-21 Inputs'!Q46="",'TM-21 Inputs'!L46=""),"",IF(OR(AND('TM-21 Inputs'!$I$19&gt;=5952,'TM-21 Inputs'!$I$19&lt;=10000,'TM-21 Inputs'!Q46&gt;='TM-21 Inputs'!$I$19-5096),AND('TM-21 Inputs'!$I$19&gt;10000,OR('TM-21 Inputs'!Q46&gt;=0.5*'TM-21 Inputs'!$I$19,'TM-21 Inputs'!Q46=SMALL('TM-21 Inputs'!$Q$10:$Q$49,COUNTIF('TM-21 Inputs'!$Q$10:$Q$49,"&lt;"&amp;(0.5*'TM-21 Inputs'!$I$19)+1))))),'TM-21 Inputs'!Q46,"")))</f>
        <v>-</v>
      </c>
      <c r="F42" s="3">
        <f>IF(E42="","",'TM-21 Inputs'!R46)</f>
        <v>0</v>
      </c>
      <c r="G42" s="10" t="e">
        <f t="shared" si="8"/>
        <v>#NUM!</v>
      </c>
      <c r="H42" s="13" t="e">
        <f t="shared" si="9"/>
        <v>#NUM!</v>
      </c>
      <c r="I42" s="17" t="e">
        <f t="shared" si="10"/>
        <v>#VALUE!</v>
      </c>
      <c r="J42" s="18" t="e">
        <f t="shared" si="11"/>
        <v>#VALUE!</v>
      </c>
    </row>
    <row r="43" spans="3:10" x14ac:dyDescent="0.3">
      <c r="C43" s="5" t="e">
        <f t="shared" si="6"/>
        <v>#VALUE!</v>
      </c>
      <c r="D43" s="5" t="e">
        <f t="shared" si="7"/>
        <v>#VALUE!</v>
      </c>
      <c r="E43" s="7" t="str">
        <f>IF(OR('TM-21 Inputs'!$I$19="",'TM-21 Inputs'!$I$21=""),"-",IF(OR('TM-21 Inputs'!Q47="",'TM-21 Inputs'!L47=""),"",IF(OR(AND('TM-21 Inputs'!$I$19&gt;=5952,'TM-21 Inputs'!$I$19&lt;=10000,'TM-21 Inputs'!Q47&gt;='TM-21 Inputs'!$I$19-5096),AND('TM-21 Inputs'!$I$19&gt;10000,OR('TM-21 Inputs'!Q47&gt;=0.5*'TM-21 Inputs'!$I$19,'TM-21 Inputs'!Q47=SMALL('TM-21 Inputs'!$Q$10:$Q$49,COUNTIF('TM-21 Inputs'!$Q$10:$Q$49,"&lt;"&amp;(0.5*'TM-21 Inputs'!$I$19)+1))))),'TM-21 Inputs'!Q47,"")))</f>
        <v>-</v>
      </c>
      <c r="F43" s="3">
        <f>IF(E43="","",'TM-21 Inputs'!R47)</f>
        <v>0</v>
      </c>
      <c r="G43" s="10" t="e">
        <f t="shared" si="8"/>
        <v>#NUM!</v>
      </c>
      <c r="H43" s="13" t="e">
        <f t="shared" si="9"/>
        <v>#NUM!</v>
      </c>
      <c r="I43" s="17" t="e">
        <f t="shared" si="10"/>
        <v>#VALUE!</v>
      </c>
      <c r="J43" s="18" t="e">
        <f t="shared" si="11"/>
        <v>#VALUE!</v>
      </c>
    </row>
    <row r="44" spans="3:10" x14ac:dyDescent="0.3">
      <c r="C44" s="5" t="e">
        <f t="shared" si="6"/>
        <v>#VALUE!</v>
      </c>
      <c r="D44" s="5" t="e">
        <f t="shared" si="7"/>
        <v>#VALUE!</v>
      </c>
      <c r="E44" s="7" t="str">
        <f>IF(OR('TM-21 Inputs'!$I$19="",'TM-21 Inputs'!$I$21=""),"-",IF(OR('TM-21 Inputs'!Q48="",'TM-21 Inputs'!L48=""),"",IF(OR(AND('TM-21 Inputs'!$I$19&gt;=5952,'TM-21 Inputs'!$I$19&lt;=10000,'TM-21 Inputs'!Q48&gt;='TM-21 Inputs'!$I$19-5096),AND('TM-21 Inputs'!$I$19&gt;10000,OR('TM-21 Inputs'!Q48&gt;=0.5*'TM-21 Inputs'!$I$19,'TM-21 Inputs'!Q48=SMALL('TM-21 Inputs'!$Q$10:$Q$49,COUNTIF('TM-21 Inputs'!$Q$10:$Q$49,"&lt;"&amp;(0.5*'TM-21 Inputs'!$I$19)+1))))),'TM-21 Inputs'!Q48,"")))</f>
        <v>-</v>
      </c>
      <c r="F44" s="3">
        <f>IF(E44="","",'TM-21 Inputs'!R48)</f>
        <v>0</v>
      </c>
      <c r="G44" s="10" t="e">
        <f t="shared" si="8"/>
        <v>#NUM!</v>
      </c>
      <c r="H44" s="13" t="e">
        <f t="shared" si="9"/>
        <v>#NUM!</v>
      </c>
      <c r="I44" s="17" t="e">
        <f t="shared" si="10"/>
        <v>#VALUE!</v>
      </c>
      <c r="J44" s="18" t="e">
        <f t="shared" si="11"/>
        <v>#VALUE!</v>
      </c>
    </row>
    <row r="45" spans="3:10" x14ac:dyDescent="0.3">
      <c r="C45" s="5" t="e">
        <f t="shared" si="6"/>
        <v>#VALUE!</v>
      </c>
      <c r="D45" s="5" t="e">
        <f t="shared" si="7"/>
        <v>#VALUE!</v>
      </c>
      <c r="E45" s="7" t="str">
        <f>IF(OR('TM-21 Inputs'!$I$19="",'TM-21 Inputs'!$I$21=""),"-",IF(OR('TM-21 Inputs'!Q49="",'TM-21 Inputs'!L49=""),"",IF(OR(AND('TM-21 Inputs'!$I$19&gt;=5952,'TM-21 Inputs'!$I$19&lt;=10000,'TM-21 Inputs'!Q49&gt;='TM-21 Inputs'!$I$19-5096),AND('TM-21 Inputs'!$I$19&gt;10000,OR('TM-21 Inputs'!Q49&gt;=0.5*'TM-21 Inputs'!$I$19,'TM-21 Inputs'!Q49=SMALL('TM-21 Inputs'!$Q$10:$Q$49,COUNTIF('TM-21 Inputs'!$Q$10:$Q$49,"&lt;"&amp;(0.5*'TM-21 Inputs'!$I$19)+1))))),'TM-21 Inputs'!Q49,"")))</f>
        <v>-</v>
      </c>
      <c r="F45" s="3">
        <f>IF(E45="","",'TM-21 Inputs'!R49)</f>
        <v>0</v>
      </c>
      <c r="G45" s="10" t="e">
        <f t="shared" si="8"/>
        <v>#NUM!</v>
      </c>
      <c r="H45" s="13" t="e">
        <f t="shared" si="9"/>
        <v>#NUM!</v>
      </c>
      <c r="I45" s="17" t="e">
        <f t="shared" si="10"/>
        <v>#VALUE!</v>
      </c>
      <c r="J45" s="18" t="e">
        <f t="shared" si="11"/>
        <v>#VALUE!</v>
      </c>
    </row>
    <row r="46" spans="3:10" x14ac:dyDescent="0.3">
      <c r="C46" s="5" t="e">
        <f t="shared" si="6"/>
        <v>#VALUE!</v>
      </c>
      <c r="D46" s="5" t="e">
        <f t="shared" si="7"/>
        <v>#VALUE!</v>
      </c>
      <c r="E46" s="7" t="str">
        <f>IF(OR('TM-21 Inputs'!$I$19="",'TM-21 Inputs'!$I$21=""),"-",IF(OR('TM-21 Inputs'!Q50="",'TM-21 Inputs'!L50=""),"",IF(OR(AND('TM-21 Inputs'!$I$19&gt;=5952,'TM-21 Inputs'!$I$19&lt;=10000,'TM-21 Inputs'!Q50&gt;='TM-21 Inputs'!$I$19-5096),AND('TM-21 Inputs'!$I$19&gt;10000,OR('TM-21 Inputs'!Q50&gt;=0.5*'TM-21 Inputs'!$I$19,'TM-21 Inputs'!Q50=SMALL('TM-21 Inputs'!$Q$10:$Q$49,COUNTIF('TM-21 Inputs'!$Q$10:$Q$49,"&lt;"&amp;(0.5*'TM-21 Inputs'!$I$19)+1))))),'TM-21 Inputs'!Q50,"")))</f>
        <v>-</v>
      </c>
      <c r="F46" s="3">
        <f>IF(E46="","",'TM-21 Inputs'!R50)</f>
        <v>0</v>
      </c>
      <c r="G46" s="10" t="e">
        <f t="shared" si="8"/>
        <v>#NUM!</v>
      </c>
      <c r="H46" s="13" t="e">
        <f t="shared" si="9"/>
        <v>#NUM!</v>
      </c>
      <c r="I46" s="17" t="e">
        <f t="shared" si="10"/>
        <v>#VALUE!</v>
      </c>
      <c r="J46" s="18" t="e">
        <f t="shared" si="11"/>
        <v>#VALUE!</v>
      </c>
    </row>
    <row r="47" spans="3:10" x14ac:dyDescent="0.3">
      <c r="C47" s="5" t="e">
        <f t="shared" si="6"/>
        <v>#VALUE!</v>
      </c>
      <c r="D47" s="5" t="e">
        <f t="shared" si="7"/>
        <v>#VALUE!</v>
      </c>
      <c r="E47" s="7" t="str">
        <f>IF(OR('TM-21 Inputs'!$I$19="",'TM-21 Inputs'!$I$21=""),"-",IF(OR('TM-21 Inputs'!Q51="",'TM-21 Inputs'!L51=""),"",IF(OR(AND('TM-21 Inputs'!$I$19&gt;=5952,'TM-21 Inputs'!$I$19&lt;=10000,'TM-21 Inputs'!Q51&gt;='TM-21 Inputs'!$I$19-5096),AND('TM-21 Inputs'!$I$19&gt;10000,OR('TM-21 Inputs'!Q51&gt;=0.5*'TM-21 Inputs'!$I$19,'TM-21 Inputs'!Q51=SMALL('TM-21 Inputs'!$Q$10:$Q$49,COUNTIF('TM-21 Inputs'!$Q$10:$Q$49,"&lt;"&amp;(0.5*'TM-21 Inputs'!$I$19)+1))))),'TM-21 Inputs'!Q51,"")))</f>
        <v>-</v>
      </c>
      <c r="F47" s="3">
        <f>IF(E47="","",'TM-21 Inputs'!R51)</f>
        <v>0</v>
      </c>
      <c r="G47" s="10" t="e">
        <f t="shared" si="8"/>
        <v>#NUM!</v>
      </c>
      <c r="H47" s="13" t="e">
        <f t="shared" si="9"/>
        <v>#NUM!</v>
      </c>
      <c r="I47" s="17" t="e">
        <f t="shared" si="10"/>
        <v>#VALUE!</v>
      </c>
      <c r="J47" s="18" t="e">
        <f t="shared" si="11"/>
        <v>#VALUE!</v>
      </c>
    </row>
    <row r="48" spans="3:10" x14ac:dyDescent="0.3">
      <c r="C48" s="5" t="e">
        <f t="shared" si="6"/>
        <v>#VALUE!</v>
      </c>
      <c r="D48" s="5" t="e">
        <f t="shared" si="7"/>
        <v>#VALUE!</v>
      </c>
      <c r="E48" s="7" t="str">
        <f>IF(OR('TM-21 Inputs'!$I$19="",'TM-21 Inputs'!$I$21=""),"-",IF(OR('TM-21 Inputs'!Q52="",'TM-21 Inputs'!L52=""),"",IF(OR(AND('TM-21 Inputs'!$I$19&gt;=5952,'TM-21 Inputs'!$I$19&lt;=10000,'TM-21 Inputs'!Q52&gt;='TM-21 Inputs'!$I$19-5096),AND('TM-21 Inputs'!$I$19&gt;10000,OR('TM-21 Inputs'!Q52&gt;=0.5*'TM-21 Inputs'!$I$19,'TM-21 Inputs'!Q52=SMALL('TM-21 Inputs'!$Q$10:$Q$49,COUNTIF('TM-21 Inputs'!$Q$10:$Q$49,"&lt;"&amp;(0.5*'TM-21 Inputs'!$I$19)+1))))),'TM-21 Inputs'!Q52,"")))</f>
        <v>-</v>
      </c>
      <c r="F48" s="3">
        <f>IF(E48="","",'TM-21 Inputs'!R52)</f>
        <v>0</v>
      </c>
      <c r="G48" s="10" t="e">
        <f t="shared" si="8"/>
        <v>#NUM!</v>
      </c>
      <c r="H48" s="13" t="e">
        <f t="shared" si="9"/>
        <v>#NUM!</v>
      </c>
      <c r="I48" s="17" t="e">
        <f t="shared" si="10"/>
        <v>#VALUE!</v>
      </c>
      <c r="J48" s="18" t="e">
        <f t="shared" si="11"/>
        <v>#VALUE!</v>
      </c>
    </row>
    <row r="49" spans="3:10" x14ac:dyDescent="0.3">
      <c r="C49" s="5" t="e">
        <f t="shared" si="6"/>
        <v>#VALUE!</v>
      </c>
      <c r="D49" s="5" t="e">
        <f t="shared" si="7"/>
        <v>#VALUE!</v>
      </c>
      <c r="E49" s="7" t="str">
        <f>IF(OR('TM-21 Inputs'!$I$19="",'TM-21 Inputs'!$I$21=""),"-",IF(OR('TM-21 Inputs'!Q53="",'TM-21 Inputs'!L53=""),"",IF(OR(AND('TM-21 Inputs'!$I$19&gt;=5952,'TM-21 Inputs'!$I$19&lt;=10000,'TM-21 Inputs'!Q53&gt;='TM-21 Inputs'!$I$19-5096),AND('TM-21 Inputs'!$I$19&gt;10000,OR('TM-21 Inputs'!Q53&gt;=0.5*'TM-21 Inputs'!$I$19,'TM-21 Inputs'!Q53=SMALL('TM-21 Inputs'!$Q$10:$Q$49,COUNTIF('TM-21 Inputs'!$Q$10:$Q$49,"&lt;"&amp;(0.5*'TM-21 Inputs'!$I$19)+1))))),'TM-21 Inputs'!Q53,"")))</f>
        <v>-</v>
      </c>
      <c r="F49" s="3">
        <f>IF(E49="","",'TM-21 Inputs'!R53)</f>
        <v>0</v>
      </c>
      <c r="G49" s="10" t="e">
        <f t="shared" si="8"/>
        <v>#NUM!</v>
      </c>
      <c r="H49" s="13" t="e">
        <f t="shared" si="9"/>
        <v>#NUM!</v>
      </c>
      <c r="I49" s="17" t="e">
        <f t="shared" si="10"/>
        <v>#VALUE!</v>
      </c>
      <c r="J49" s="18" t="e">
        <f t="shared" si="11"/>
        <v>#VALUE!</v>
      </c>
    </row>
    <row r="50" spans="3:10" x14ac:dyDescent="0.3">
      <c r="C50" s="5"/>
      <c r="D50" s="5"/>
      <c r="E50" s="8"/>
      <c r="F50" s="3"/>
      <c r="G50" s="10"/>
      <c r="H50" s="13"/>
      <c r="I50" s="17"/>
      <c r="J50" s="18"/>
    </row>
    <row r="51" spans="3:10" x14ac:dyDescent="0.3">
      <c r="C51" s="5"/>
      <c r="D51" s="5"/>
      <c r="E51" s="8"/>
      <c r="F51" s="3"/>
      <c r="G51" s="10"/>
      <c r="H51" s="13"/>
      <c r="I51" s="17"/>
      <c r="J51" s="18"/>
    </row>
    <row r="52" spans="3:10" ht="15" thickBot="1" x14ac:dyDescent="0.35">
      <c r="C52" s="201" t="str">
        <f>IF(COUNTIFS(C6:C49,"&gt;96")=0,"PASS","FAIL")</f>
        <v>PASS</v>
      </c>
      <c r="D52" s="21" t="s">
        <v>8</v>
      </c>
      <c r="E52" s="22">
        <f>SUM(E6:E49)</f>
        <v>0</v>
      </c>
      <c r="F52" s="23">
        <f>SUM(F6:F49)</f>
        <v>0</v>
      </c>
      <c r="G52" s="24" t="e">
        <f>SUM(G6:G49)</f>
        <v>#NUM!</v>
      </c>
      <c r="H52" s="25" t="e">
        <f>SUM(H6:H49)</f>
        <v>#NUM!</v>
      </c>
      <c r="I52" s="26" t="e">
        <f>SUM(I6:I49)</f>
        <v>#VALUE!</v>
      </c>
      <c r="J52" s="27" t="e">
        <f>SUM(J6:J49)</f>
        <v>#VALUE!</v>
      </c>
    </row>
    <row r="53" spans="3:10" ht="15" thickBot="1" x14ac:dyDescent="0.35"/>
    <row r="54" spans="3:10" ht="15.6" x14ac:dyDescent="0.3">
      <c r="E54" s="289" t="s">
        <v>9</v>
      </c>
      <c r="F54" s="290"/>
    </row>
    <row r="55" spans="3:10" x14ac:dyDescent="0.3">
      <c r="E55" s="33" t="s">
        <v>15</v>
      </c>
      <c r="F55" s="34" t="str">
        <f>IF('TM-21 Inputs'!I23="","",((COUNTIF(E6:E25,"&gt;"&amp;0)*H52-(E52*G52))/((COUNTIF(E6:E25,"&gt;"&amp;0)*I52)-(E52^2))))</f>
        <v/>
      </c>
    </row>
    <row r="56" spans="3:10" x14ac:dyDescent="0.3">
      <c r="E56" s="35" t="s">
        <v>16</v>
      </c>
      <c r="F56" s="36" t="str">
        <f>IF('TM-21 Inputs'!I23="","",(G52-(F55*E52))/COUNTIF(E6:E25,"&gt;"&amp;0))</f>
        <v/>
      </c>
    </row>
    <row r="57" spans="3:10" x14ac:dyDescent="0.3">
      <c r="E57" s="37" t="s">
        <v>17</v>
      </c>
      <c r="F57" s="36" t="str">
        <f>IF('TM-21 Inputs'!I23="","",-F55)</f>
        <v/>
      </c>
    </row>
    <row r="58" spans="3:10" x14ac:dyDescent="0.3">
      <c r="E58" s="35" t="s">
        <v>18</v>
      </c>
      <c r="F58" s="36" t="str">
        <f>IF('TM-21 Inputs'!I23="","",EXP(F56))</f>
        <v/>
      </c>
    </row>
    <row r="59" spans="3:10" ht="30" customHeight="1" x14ac:dyDescent="0.3">
      <c r="E59" s="38" t="str">
        <f>CONCATENATE("Calculated L",'TM-21 Inputs'!I35," (hrs):")</f>
        <v>Calculated L (hrs):</v>
      </c>
      <c r="F59" s="39" t="str">
        <f>IF('TM-21 Inputs'!I23="","",ROUND((LN(F58/('TM-21 Inputs'!$I$35/100))/F57),-3))</f>
        <v/>
      </c>
    </row>
    <row r="60" spans="3:10" ht="30" customHeight="1" thickBot="1" x14ac:dyDescent="0.35">
      <c r="E60" s="40" t="str">
        <f>CONCATENATE("Reported L",'TM-21 Inputs'!I35," (hrs):")</f>
        <v>Reported L (hrs):</v>
      </c>
      <c r="F60" s="28" t="str">
        <f>IF('TM-21 Inputs'!I23="","",IF(OR(AND('TM-21 Inputs'!$I$18&gt;=20,$F$59&lt;6*'TM-21 Inputs'!$I$19),AND('TM-21 Inputs'!$I$18&gt;=10,'TM-21 Inputs'!$I$18&lt;=19,$F$59&lt;5.5*'TM-21 Inputs'!$I$19)),ROUND(F59,-3),IF('TM-21 Inputs'!$I$18&gt;=20,CONCATENATE("&gt;",ROUND((6*'TM-21 Inputs'!$I$19),-3)),IF(AND('TM-21 Inputs'!$I$18&gt;=10,'TM-21 Inputs'!$I$18&lt;=19),CONCATENATE("&gt;",ROUND((5.5*'TM-21 Inputs'!$I$19),-3)),"error"))))</f>
        <v/>
      </c>
    </row>
  </sheetData>
  <mergeCells count="2">
    <mergeCell ref="E54:F54"/>
    <mergeCell ref="C4:J4"/>
  </mergeCells>
  <pageMargins left="0.7" right="0.7" top="0.75" bottom="0.75" header="0.3" footer="0.3"/>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rev. 05.20.16</vt:lpstr>
      <vt:lpstr>TM-21 Inputs</vt:lpstr>
      <vt:lpstr>Product Inputs</vt:lpstr>
      <vt:lpstr>TM-21 Projection</vt:lpstr>
      <vt:lpstr>TM-21 Report</vt:lpstr>
      <vt:lpstr>Hide when public ==&gt;</vt:lpstr>
      <vt:lpstr>Calculations - Case Temp 1</vt:lpstr>
      <vt:lpstr>Calculations - Case Temp 2</vt:lpstr>
      <vt:lpstr>Calculations - Case Temp 3</vt:lpstr>
    </vt:vector>
  </TitlesOfParts>
  <Company>DRINTL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 Lauf</dc:creator>
  <cp:lastModifiedBy>Baldewicz, Dan</cp:lastModifiedBy>
  <cp:lastPrinted>2015-08-28T14:01:31Z</cp:lastPrinted>
  <dcterms:created xsi:type="dcterms:W3CDTF">2011-11-01T14:53:21Z</dcterms:created>
  <dcterms:modified xsi:type="dcterms:W3CDTF">2016-05-20T19:47:01Z</dcterms:modified>
</cp:coreProperties>
</file>