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33531\Desktop\"/>
    </mc:Choice>
  </mc:AlternateContent>
  <bookViews>
    <workbookView xWindow="0" yWindow="750" windowWidth="9600" windowHeight="885" tabRatio="883"/>
  </bookViews>
  <sheets>
    <sheet name="rev. 02.08.16" sheetId="1" r:id="rId1"/>
    <sheet name="TM-28 Inputs" sheetId="2" r:id="rId2"/>
    <sheet name="Product Inputs" sheetId="3" r:id="rId3"/>
    <sheet name="TM-28 Projection" sheetId="8" r:id="rId4"/>
    <sheet name="TM-28 Report" sheetId="13" r:id="rId5"/>
    <sheet name="Hide when public ==&gt;" sheetId="11" state="hidden" r:id="rId6"/>
    <sheet name="Calculations - Ambient Temp 1" sheetId="5" state="hidden" r:id="rId7"/>
    <sheet name="Calculations - Ambient Temp 2" sheetId="6" state="hidden" r:id="rId8"/>
  </sheets>
  <definedNames>
    <definedName name="_xlnm.Print_Area" localSheetId="2">'Product Inputs'!$A$1:$L$25</definedName>
  </definedNames>
  <calcPr calcId="152511"/>
</workbook>
</file>

<file path=xl/calcChain.xml><?xml version="1.0" encoding="utf-8"?>
<calcChain xmlns="http://schemas.openxmlformats.org/spreadsheetml/2006/main">
  <c r="I25" i="13" l="1"/>
  <c r="F22" i="13"/>
  <c r="C22" i="13"/>
  <c r="J37" i="2" l="1"/>
  <c r="I18" i="2"/>
  <c r="H28" i="2" l="1"/>
  <c r="J38" i="2"/>
  <c r="C2" i="3" l="1"/>
  <c r="J7" i="3" l="1"/>
  <c r="G7" i="3"/>
  <c r="J6" i="3"/>
  <c r="G6" i="3"/>
  <c r="N8" i="2"/>
  <c r="K8" i="2"/>
  <c r="F13" i="13" l="1"/>
  <c r="C13" i="13"/>
  <c r="C4" i="6"/>
  <c r="C4" i="5"/>
  <c r="E9" i="6" l="1"/>
  <c r="E10" i="6"/>
  <c r="E11" i="6"/>
  <c r="E12" i="6"/>
  <c r="E13" i="6"/>
  <c r="E14" i="6"/>
  <c r="E15" i="6"/>
  <c r="E16" i="6"/>
  <c r="E17" i="6"/>
  <c r="E18" i="6"/>
  <c r="E19" i="6"/>
  <c r="E20" i="6"/>
  <c r="E21" i="6"/>
  <c r="E22" i="6"/>
  <c r="E23" i="6"/>
  <c r="E24" i="6"/>
  <c r="E25" i="6"/>
  <c r="E7" i="6"/>
  <c r="E8" i="6"/>
  <c r="E6" i="6"/>
  <c r="C7" i="6"/>
  <c r="D6" i="6"/>
  <c r="C6" i="6"/>
  <c r="E7" i="5"/>
  <c r="E8" i="5"/>
  <c r="E9" i="5"/>
  <c r="E10" i="5"/>
  <c r="E11" i="5"/>
  <c r="E12" i="5"/>
  <c r="E13" i="5"/>
  <c r="E14" i="5"/>
  <c r="E15" i="5"/>
  <c r="E16" i="5"/>
  <c r="E17" i="5"/>
  <c r="E18" i="5"/>
  <c r="E19" i="5"/>
  <c r="E20" i="5"/>
  <c r="E21" i="5"/>
  <c r="E22" i="5"/>
  <c r="E23" i="5"/>
  <c r="E24" i="5"/>
  <c r="E25" i="5"/>
  <c r="E6" i="5"/>
  <c r="B18" i="3"/>
  <c r="C7" i="5"/>
  <c r="C6" i="5"/>
  <c r="D6" i="5"/>
  <c r="D24" i="6" l="1"/>
  <c r="D20" i="6"/>
  <c r="D16" i="6"/>
  <c r="D12" i="6"/>
  <c r="D13" i="6"/>
  <c r="D25" i="6"/>
  <c r="D21" i="6"/>
  <c r="D8" i="6"/>
  <c r="D19" i="6"/>
  <c r="D15" i="6"/>
  <c r="D11" i="6"/>
  <c r="D22" i="6"/>
  <c r="D18" i="6"/>
  <c r="D10" i="6"/>
  <c r="D14" i="6"/>
  <c r="D17" i="6"/>
  <c r="D9" i="6"/>
  <c r="D7" i="6"/>
  <c r="D23" i="6"/>
  <c r="D11" i="5"/>
  <c r="H45" i="2"/>
  <c r="C13" i="6" l="1"/>
  <c r="C14" i="6"/>
  <c r="C21" i="6"/>
  <c r="C20" i="6"/>
  <c r="C24" i="6"/>
  <c r="C12" i="6"/>
  <c r="C25" i="6"/>
  <c r="C16" i="6"/>
  <c r="C11" i="6"/>
  <c r="C22" i="6"/>
  <c r="C19" i="6"/>
  <c r="C8" i="6"/>
  <c r="C9" i="6"/>
  <c r="C15" i="6"/>
  <c r="C18" i="6"/>
  <c r="C23" i="6"/>
  <c r="C17" i="6"/>
  <c r="C10" i="6"/>
  <c r="C16" i="3"/>
  <c r="D7" i="5"/>
  <c r="D10" i="5"/>
  <c r="C11" i="5" s="1"/>
  <c r="F21" i="13"/>
  <c r="F20" i="13"/>
  <c r="F19" i="13"/>
  <c r="F18" i="13"/>
  <c r="F17" i="13"/>
  <c r="F16" i="13"/>
  <c r="F15" i="13"/>
  <c r="F14" i="13"/>
  <c r="F10" i="13"/>
  <c r="D19" i="13"/>
  <c r="G19" i="13"/>
  <c r="F9" i="3"/>
  <c r="I9" i="3"/>
  <c r="F10" i="3"/>
  <c r="I10" i="3"/>
  <c r="C26" i="6" l="1"/>
  <c r="D15" i="5"/>
  <c r="D17" i="5"/>
  <c r="D19" i="5"/>
  <c r="D21" i="5"/>
  <c r="D23" i="5"/>
  <c r="D25" i="5"/>
  <c r="D9" i="5"/>
  <c r="C10" i="5" s="1"/>
  <c r="D14" i="5"/>
  <c r="D16" i="5"/>
  <c r="D18" i="5"/>
  <c r="D20" i="5"/>
  <c r="D22" i="5"/>
  <c r="D24" i="5"/>
  <c r="D13" i="5"/>
  <c r="D12" i="5"/>
  <c r="D8" i="5"/>
  <c r="G16" i="13"/>
  <c r="G17" i="13"/>
  <c r="G18" i="13"/>
  <c r="D17" i="13"/>
  <c r="D18" i="13"/>
  <c r="L13" i="8"/>
  <c r="J22" i="13" s="1"/>
  <c r="J8" i="3"/>
  <c r="G8" i="3"/>
  <c r="D14" i="13"/>
  <c r="G15" i="13"/>
  <c r="D16" i="13"/>
  <c r="G14" i="13"/>
  <c r="D15" i="13"/>
  <c r="C12" i="3"/>
  <c r="B19" i="3"/>
  <c r="C3" i="3" l="1"/>
  <c r="L2" i="8" s="1"/>
  <c r="J11" i="13" s="1"/>
  <c r="C7" i="3"/>
  <c r="C25" i="5"/>
  <c r="C17" i="5"/>
  <c r="C21" i="5"/>
  <c r="C14" i="5"/>
  <c r="C9" i="5"/>
  <c r="C23" i="5"/>
  <c r="C19" i="5"/>
  <c r="C15" i="5"/>
  <c r="C22" i="5"/>
  <c r="C18" i="5"/>
  <c r="C8" i="5"/>
  <c r="C13" i="5"/>
  <c r="C12" i="5"/>
  <c r="C24" i="5"/>
  <c r="C20" i="5"/>
  <c r="C16" i="5"/>
  <c r="I4" i="8"/>
  <c r="F4" i="8"/>
  <c r="C4" i="8"/>
  <c r="I3" i="8"/>
  <c r="F3" i="8"/>
  <c r="C3" i="8"/>
  <c r="I2" i="8"/>
  <c r="F2" i="8"/>
  <c r="C2" i="8"/>
  <c r="B11" i="8"/>
  <c r="I5" i="8"/>
  <c r="F5" i="8"/>
  <c r="C5" i="8"/>
  <c r="I8" i="8"/>
  <c r="F8" i="8"/>
  <c r="C8" i="8"/>
  <c r="F6" i="8"/>
  <c r="C6" i="8"/>
  <c r="H12" i="8"/>
  <c r="H11" i="8"/>
  <c r="E12" i="8"/>
  <c r="E11" i="8"/>
  <c r="B12" i="8"/>
  <c r="E33" i="5"/>
  <c r="F11" i="3" s="1"/>
  <c r="E34" i="6"/>
  <c r="I12" i="3" s="1"/>
  <c r="E33" i="6"/>
  <c r="I11" i="3" s="1"/>
  <c r="E34" i="5"/>
  <c r="F12" i="3" s="1"/>
  <c r="F9" i="5"/>
  <c r="G9" i="5" s="1"/>
  <c r="F11" i="6"/>
  <c r="G11" i="6" s="1"/>
  <c r="J11" i="6" s="1"/>
  <c r="F10" i="6"/>
  <c r="G10" i="6" s="1"/>
  <c r="J10" i="6" s="1"/>
  <c r="F9" i="6"/>
  <c r="G9" i="6" s="1"/>
  <c r="J9" i="6" s="1"/>
  <c r="F8" i="6"/>
  <c r="G8" i="6" s="1"/>
  <c r="J8" i="6" s="1"/>
  <c r="F7" i="6"/>
  <c r="G7" i="6" s="1"/>
  <c r="J7" i="6" s="1"/>
  <c r="F25" i="5"/>
  <c r="G25" i="5" s="1"/>
  <c r="F24" i="5"/>
  <c r="G24" i="5" s="1"/>
  <c r="F23" i="5"/>
  <c r="G23" i="5" s="1"/>
  <c r="F22" i="5"/>
  <c r="G22" i="5" s="1"/>
  <c r="F21" i="5"/>
  <c r="G21" i="5" s="1"/>
  <c r="F20" i="5"/>
  <c r="G20" i="5" s="1"/>
  <c r="F19" i="5"/>
  <c r="G19" i="5" s="1"/>
  <c r="F18" i="5"/>
  <c r="G18" i="5" s="1"/>
  <c r="F17" i="5"/>
  <c r="G17" i="5" s="1"/>
  <c r="F16" i="5"/>
  <c r="G16" i="5" s="1"/>
  <c r="F15" i="5"/>
  <c r="G15" i="5" s="1"/>
  <c r="F14" i="5"/>
  <c r="G14" i="5" s="1"/>
  <c r="F13" i="5"/>
  <c r="G13" i="5" s="1"/>
  <c r="F12" i="5"/>
  <c r="G12" i="5" s="1"/>
  <c r="F11" i="5"/>
  <c r="G11" i="5" s="1"/>
  <c r="F10" i="5"/>
  <c r="G10" i="5" s="1"/>
  <c r="F8" i="5"/>
  <c r="F7" i="5"/>
  <c r="G7" i="5" s="1"/>
  <c r="C26" i="5" l="1"/>
  <c r="K34" i="2" s="1"/>
  <c r="G8" i="5"/>
  <c r="J8" i="5" s="1"/>
  <c r="F6" i="6"/>
  <c r="G6" i="6" s="1"/>
  <c r="H6" i="6" s="1"/>
  <c r="F6" i="5"/>
  <c r="F26" i="5" s="1"/>
  <c r="L6" i="8"/>
  <c r="J15" i="13" s="1"/>
  <c r="C7" i="8"/>
  <c r="I7" i="8"/>
  <c r="I6" i="8"/>
  <c r="L14" i="8"/>
  <c r="J23" i="13" s="1"/>
  <c r="I7" i="6"/>
  <c r="I9" i="6"/>
  <c r="I11" i="6"/>
  <c r="I6" i="6"/>
  <c r="I8" i="6"/>
  <c r="I10" i="6"/>
  <c r="H7" i="6"/>
  <c r="H8" i="6"/>
  <c r="H9" i="6"/>
  <c r="H10" i="6"/>
  <c r="H11" i="6"/>
  <c r="H7" i="5"/>
  <c r="H9" i="5"/>
  <c r="H11" i="5"/>
  <c r="H13" i="5"/>
  <c r="H15" i="5"/>
  <c r="H17" i="5"/>
  <c r="H19" i="5"/>
  <c r="H21" i="5"/>
  <c r="H23" i="5"/>
  <c r="H25" i="5"/>
  <c r="H10" i="5"/>
  <c r="H12" i="5"/>
  <c r="H14" i="5"/>
  <c r="H16" i="5"/>
  <c r="H18" i="5"/>
  <c r="H20" i="5"/>
  <c r="H22" i="5"/>
  <c r="H24" i="5"/>
  <c r="I7" i="5"/>
  <c r="I9" i="5"/>
  <c r="I11" i="5"/>
  <c r="I13" i="5"/>
  <c r="I15" i="5"/>
  <c r="I17" i="5"/>
  <c r="I19" i="5"/>
  <c r="I21" i="5"/>
  <c r="I23" i="5"/>
  <c r="I25" i="5"/>
  <c r="J7" i="5"/>
  <c r="J9" i="5"/>
  <c r="J11" i="5"/>
  <c r="J13" i="5"/>
  <c r="J15" i="5"/>
  <c r="J17" i="5"/>
  <c r="J19" i="5"/>
  <c r="J21" i="5"/>
  <c r="J23" i="5"/>
  <c r="J25" i="5"/>
  <c r="I6" i="5"/>
  <c r="I8" i="5"/>
  <c r="I10" i="5"/>
  <c r="I12" i="5"/>
  <c r="I14" i="5"/>
  <c r="I16" i="5"/>
  <c r="I18" i="5"/>
  <c r="I20" i="5"/>
  <c r="I22" i="5"/>
  <c r="I24" i="5"/>
  <c r="J10" i="5"/>
  <c r="J12" i="5"/>
  <c r="J14" i="5"/>
  <c r="J16" i="5"/>
  <c r="J18" i="5"/>
  <c r="J20" i="5"/>
  <c r="J22" i="5"/>
  <c r="J24" i="5"/>
  <c r="E26" i="5"/>
  <c r="G6" i="5" l="1"/>
  <c r="J6" i="5" s="1"/>
  <c r="J26" i="5" s="1"/>
  <c r="H8" i="5"/>
  <c r="J6" i="6"/>
  <c r="L7" i="8"/>
  <c r="J16" i="13" s="1"/>
  <c r="L3" i="8"/>
  <c r="J12" i="13" s="1"/>
  <c r="H6" i="5"/>
  <c r="I26" i="5"/>
  <c r="G26" i="5" l="1"/>
  <c r="H26" i="5"/>
  <c r="F29" i="5" l="1"/>
  <c r="F30" i="5" s="1"/>
  <c r="F32" i="5" s="1"/>
  <c r="G10" i="3" s="1"/>
  <c r="F25" i="6"/>
  <c r="G25" i="6" s="1"/>
  <c r="H25" i="6" s="1"/>
  <c r="I25" i="6"/>
  <c r="F12" i="6"/>
  <c r="G12" i="6" s="1"/>
  <c r="H12" i="6" s="1"/>
  <c r="I12" i="6"/>
  <c r="D21" i="13" l="1"/>
  <c r="C5" i="3"/>
  <c r="C10" i="8"/>
  <c r="F31" i="5"/>
  <c r="G9" i="3" s="1"/>
  <c r="J25" i="6"/>
  <c r="I9" i="8"/>
  <c r="J12" i="6"/>
  <c r="I10" i="8"/>
  <c r="F13" i="6"/>
  <c r="G13" i="6" s="1"/>
  <c r="J13" i="6" s="1"/>
  <c r="I13" i="6"/>
  <c r="F33" i="5" l="1"/>
  <c r="F34" i="5" s="1"/>
  <c r="G12" i="3" s="1"/>
  <c r="D22" i="13" s="1"/>
  <c r="D20" i="13"/>
  <c r="C4" i="3"/>
  <c r="C9" i="8"/>
  <c r="I11" i="8"/>
  <c r="H13" i="6"/>
  <c r="F14" i="6"/>
  <c r="G14" i="6" s="1"/>
  <c r="H14" i="6" s="1"/>
  <c r="I14" i="6"/>
  <c r="C11" i="8" l="1"/>
  <c r="G11" i="3"/>
  <c r="C12" i="8"/>
  <c r="I12" i="8"/>
  <c r="J14" i="6"/>
  <c r="F15" i="6"/>
  <c r="G15" i="6" s="1"/>
  <c r="J15" i="6" s="1"/>
  <c r="I15" i="6"/>
  <c r="H15" i="6" l="1"/>
  <c r="F16" i="6"/>
  <c r="G16" i="6" s="1"/>
  <c r="H16" i="6" s="1"/>
  <c r="I16" i="6"/>
  <c r="J16" i="6" l="1"/>
  <c r="F17" i="6"/>
  <c r="G17" i="6" s="1"/>
  <c r="J17" i="6" s="1"/>
  <c r="I17" i="6"/>
  <c r="H17" i="6" l="1"/>
  <c r="F18" i="6"/>
  <c r="G18" i="6" s="1"/>
  <c r="H18" i="6" s="1"/>
  <c r="I18" i="6"/>
  <c r="J18" i="6" l="1"/>
  <c r="F19" i="6"/>
  <c r="G19" i="6" s="1"/>
  <c r="J19" i="6" s="1"/>
  <c r="I19" i="6"/>
  <c r="H19" i="6" l="1"/>
  <c r="F20" i="6"/>
  <c r="G20" i="6" s="1"/>
  <c r="H20" i="6" s="1"/>
  <c r="I20" i="6"/>
  <c r="J20" i="6" l="1"/>
  <c r="F21" i="6"/>
  <c r="G21" i="6" s="1"/>
  <c r="J21" i="6" s="1"/>
  <c r="I21" i="6"/>
  <c r="H21" i="6" l="1"/>
  <c r="F22" i="6"/>
  <c r="G22" i="6" s="1"/>
  <c r="H22" i="6" s="1"/>
  <c r="I22" i="6"/>
  <c r="J22" i="6" l="1"/>
  <c r="F23" i="6"/>
  <c r="G23" i="6" s="1"/>
  <c r="J23" i="6" s="1"/>
  <c r="I23" i="6"/>
  <c r="F7" i="8" l="1"/>
  <c r="H23" i="6"/>
  <c r="F24" i="6"/>
  <c r="F26" i="6" s="1"/>
  <c r="I24" i="6"/>
  <c r="I26" i="6" s="1"/>
  <c r="E26" i="6"/>
  <c r="G24" i="6" l="1"/>
  <c r="G26" i="6" s="1"/>
  <c r="H24" i="6" l="1"/>
  <c r="H26" i="6" s="1"/>
  <c r="F29" i="6" s="1"/>
  <c r="F30" i="6" s="1"/>
  <c r="F32" i="6" s="1"/>
  <c r="F10" i="8" s="1"/>
  <c r="J24" i="6"/>
  <c r="J26" i="6" s="1"/>
  <c r="F31" i="6" l="1"/>
  <c r="J9" i="3" s="1"/>
  <c r="J10" i="3"/>
  <c r="C9" i="3" s="1"/>
  <c r="G20" i="13" l="1"/>
  <c r="C8" i="3"/>
  <c r="L8" i="8" s="1"/>
  <c r="J17" i="13" s="1"/>
  <c r="G21" i="13"/>
  <c r="L9" i="8"/>
  <c r="J18" i="13" s="1"/>
  <c r="L4" i="8"/>
  <c r="J13" i="13" s="1"/>
  <c r="L5" i="8"/>
  <c r="J14" i="13" s="1"/>
  <c r="F9" i="8"/>
  <c r="F33" i="6"/>
  <c r="F34" i="6" s="1"/>
  <c r="C25" i="13" l="1"/>
  <c r="F12" i="8"/>
  <c r="J11" i="3"/>
  <c r="C15" i="3"/>
  <c r="C10" i="3"/>
  <c r="C13" i="3" s="1"/>
  <c r="C14" i="3" s="1"/>
  <c r="C17" i="3" s="1"/>
  <c r="F11" i="8"/>
  <c r="J12" i="3" l="1"/>
  <c r="G22" i="13" s="1"/>
  <c r="I44" i="2"/>
  <c r="L12" i="8"/>
  <c r="J21" i="13" s="1"/>
  <c r="C18" i="3"/>
  <c r="C19" i="3" s="1"/>
  <c r="J44" i="2" s="1"/>
  <c r="L10" i="8"/>
  <c r="J19" i="13" s="1"/>
  <c r="L11" i="8"/>
  <c r="J20" i="13" s="1"/>
  <c r="L15" i="8"/>
  <c r="J24" i="13" s="1"/>
  <c r="I45" i="2" l="1"/>
  <c r="J25" i="13" s="1"/>
</calcChain>
</file>

<file path=xl/sharedStrings.xml><?xml version="1.0" encoding="utf-8"?>
<sst xmlns="http://schemas.openxmlformats.org/spreadsheetml/2006/main" count="154" uniqueCount="105">
  <si>
    <t>Number of Samples Measured:</t>
  </si>
  <si>
    <t>xlny</t>
  </si>
  <si>
    <t>A</t>
  </si>
  <si>
    <t>Time (hrs) = x</t>
  </si>
  <si>
    <t>Average Normalized Lumen Maintenance = y</t>
  </si>
  <si>
    <t>xy</t>
  </si>
  <si>
    <r>
      <t>x</t>
    </r>
    <r>
      <rPr>
        <vertAlign val="superscript"/>
        <sz val="11"/>
        <color theme="1"/>
        <rFont val="Calibri"/>
        <family val="2"/>
        <scheme val="minor"/>
      </rPr>
      <t>2</t>
    </r>
  </si>
  <si>
    <t>ln(y)</t>
  </si>
  <si>
    <t>Sums</t>
  </si>
  <si>
    <t>Results</t>
  </si>
  <si>
    <t>Temperature (⁰K):</t>
  </si>
  <si>
    <t>Case Temperature 1</t>
  </si>
  <si>
    <t>Case Temperature 2</t>
  </si>
  <si>
    <t>Slope:</t>
  </si>
  <si>
    <t>Intercept:</t>
  </si>
  <si>
    <t>α:</t>
  </si>
  <si>
    <t>B:</t>
  </si>
  <si>
    <r>
      <t>E</t>
    </r>
    <r>
      <rPr>
        <vertAlign val="subscript"/>
        <sz val="11"/>
        <color theme="1"/>
        <rFont val="Calibri"/>
        <family val="2"/>
        <scheme val="minor"/>
      </rPr>
      <t>a</t>
    </r>
    <r>
      <rPr>
        <sz val="11"/>
        <color theme="1"/>
        <rFont val="Calibri"/>
        <family val="2"/>
        <scheme val="minor"/>
      </rPr>
      <t>/k</t>
    </r>
    <r>
      <rPr>
        <vertAlign val="subscript"/>
        <sz val="11"/>
        <color theme="1"/>
        <rFont val="Calibri"/>
        <family val="2"/>
        <scheme val="minor"/>
      </rPr>
      <t>b</t>
    </r>
  </si>
  <si>
    <r>
      <t>α</t>
    </r>
    <r>
      <rPr>
        <vertAlign val="subscript"/>
        <sz val="11"/>
        <color theme="1"/>
        <rFont val="Calibri"/>
        <family val="2"/>
      </rPr>
      <t>1</t>
    </r>
  </si>
  <si>
    <r>
      <t>B</t>
    </r>
    <r>
      <rPr>
        <vertAlign val="subscript"/>
        <sz val="11"/>
        <color theme="1"/>
        <rFont val="Calibri"/>
        <family val="2"/>
        <scheme val="minor"/>
      </rPr>
      <t>1</t>
    </r>
  </si>
  <si>
    <r>
      <t>α</t>
    </r>
    <r>
      <rPr>
        <vertAlign val="subscript"/>
        <sz val="9.35"/>
        <color theme="1"/>
        <rFont val="Calibri"/>
        <family val="2"/>
      </rPr>
      <t>2</t>
    </r>
  </si>
  <si>
    <r>
      <t>B</t>
    </r>
    <r>
      <rPr>
        <vertAlign val="subscript"/>
        <sz val="11"/>
        <color theme="1"/>
        <rFont val="Calibri"/>
        <family val="2"/>
        <scheme val="minor"/>
      </rPr>
      <t>2</t>
    </r>
  </si>
  <si>
    <r>
      <t>k</t>
    </r>
    <r>
      <rPr>
        <vertAlign val="subscript"/>
        <sz val="11"/>
        <color theme="1"/>
        <rFont val="Calibri"/>
        <family val="2"/>
        <scheme val="minor"/>
      </rPr>
      <t>b</t>
    </r>
    <r>
      <rPr>
        <sz val="11"/>
        <color theme="1"/>
        <rFont val="Calibri"/>
        <family val="2"/>
        <scheme val="minor"/>
      </rPr>
      <t xml:space="preserve"> (eV/K)</t>
    </r>
  </si>
  <si>
    <r>
      <t>E</t>
    </r>
    <r>
      <rPr>
        <vertAlign val="subscript"/>
        <sz val="11"/>
        <color theme="1"/>
        <rFont val="Calibri"/>
        <family val="2"/>
        <scheme val="minor"/>
      </rPr>
      <t>a</t>
    </r>
    <r>
      <rPr>
        <sz val="11"/>
        <color theme="1"/>
        <rFont val="Calibri"/>
        <family val="2"/>
        <scheme val="minor"/>
      </rPr>
      <t xml:space="preserve"> (eV)</t>
    </r>
  </si>
  <si>
    <r>
      <t>B</t>
    </r>
    <r>
      <rPr>
        <vertAlign val="subscript"/>
        <sz val="11"/>
        <color theme="1"/>
        <rFont val="Calibri"/>
        <family val="2"/>
        <scheme val="minor"/>
      </rPr>
      <t>0</t>
    </r>
  </si>
  <si>
    <r>
      <t>α</t>
    </r>
    <r>
      <rPr>
        <vertAlign val="subscript"/>
        <sz val="11"/>
        <color theme="1"/>
        <rFont val="Calibri"/>
        <family val="2"/>
      </rPr>
      <t>i</t>
    </r>
  </si>
  <si>
    <r>
      <t>T</t>
    </r>
    <r>
      <rPr>
        <vertAlign val="subscript"/>
        <sz val="11"/>
        <color theme="1"/>
        <rFont val="Calibri"/>
        <family val="2"/>
        <scheme val="minor"/>
      </rPr>
      <t>s,1</t>
    </r>
    <r>
      <rPr>
        <sz val="11"/>
        <color theme="1"/>
        <rFont val="Calibri"/>
        <family val="2"/>
        <scheme val="minor"/>
      </rPr>
      <t xml:space="preserve"> (</t>
    </r>
    <r>
      <rPr>
        <sz val="11"/>
        <color theme="1"/>
        <rFont val="Calibri"/>
        <family val="2"/>
      </rPr>
      <t>⁰C</t>
    </r>
    <r>
      <rPr>
        <sz val="11"/>
        <color theme="1"/>
        <rFont val="Calibri"/>
        <family val="2"/>
        <scheme val="minor"/>
      </rPr>
      <t>)</t>
    </r>
  </si>
  <si>
    <r>
      <t>T</t>
    </r>
    <r>
      <rPr>
        <vertAlign val="subscript"/>
        <sz val="11"/>
        <color theme="1"/>
        <rFont val="Calibri"/>
        <family val="2"/>
        <scheme val="minor"/>
      </rPr>
      <t>s,1</t>
    </r>
    <r>
      <rPr>
        <sz val="11"/>
        <color theme="1"/>
        <rFont val="Calibri"/>
        <family val="2"/>
        <scheme val="minor"/>
      </rPr>
      <t xml:space="preserve"> (K)</t>
    </r>
  </si>
  <si>
    <r>
      <t>T</t>
    </r>
    <r>
      <rPr>
        <vertAlign val="subscript"/>
        <sz val="11"/>
        <color theme="1"/>
        <rFont val="Calibri"/>
        <family val="2"/>
        <scheme val="minor"/>
      </rPr>
      <t>s,2</t>
    </r>
    <r>
      <rPr>
        <sz val="11"/>
        <color theme="1"/>
        <rFont val="Calibri"/>
        <family val="2"/>
        <scheme val="minor"/>
      </rPr>
      <t xml:space="preserve"> (K)</t>
    </r>
  </si>
  <si>
    <r>
      <t>α</t>
    </r>
    <r>
      <rPr>
        <vertAlign val="subscript"/>
        <sz val="11"/>
        <color theme="1"/>
        <rFont val="Calibri"/>
        <family val="2"/>
      </rPr>
      <t>2</t>
    </r>
  </si>
  <si>
    <r>
      <t>T</t>
    </r>
    <r>
      <rPr>
        <vertAlign val="subscript"/>
        <sz val="11"/>
        <color theme="1"/>
        <rFont val="Calibri"/>
        <family val="2"/>
        <scheme val="minor"/>
      </rPr>
      <t>s,i</t>
    </r>
    <r>
      <rPr>
        <sz val="11"/>
        <color theme="1"/>
        <rFont val="Calibri"/>
        <family val="2"/>
        <scheme val="minor"/>
      </rPr>
      <t xml:space="preserve"> (</t>
    </r>
    <r>
      <rPr>
        <sz val="11"/>
        <color theme="1"/>
        <rFont val="Calibri"/>
        <family val="2"/>
      </rPr>
      <t>⁰C</t>
    </r>
    <r>
      <rPr>
        <sz val="11"/>
        <color theme="1"/>
        <rFont val="Calibri"/>
        <family val="2"/>
        <scheme val="minor"/>
      </rPr>
      <t>)</t>
    </r>
  </si>
  <si>
    <r>
      <t>T</t>
    </r>
    <r>
      <rPr>
        <vertAlign val="subscript"/>
        <sz val="11"/>
        <color theme="1"/>
        <rFont val="Calibri"/>
        <family val="2"/>
        <scheme val="minor"/>
      </rPr>
      <t>s,i</t>
    </r>
    <r>
      <rPr>
        <sz val="11"/>
        <color theme="1"/>
        <rFont val="Calibri"/>
        <family val="2"/>
        <scheme val="minor"/>
      </rPr>
      <t xml:space="preserve"> (K)</t>
    </r>
  </si>
  <si>
    <t>Calculations:</t>
  </si>
  <si>
    <r>
      <t>T</t>
    </r>
    <r>
      <rPr>
        <vertAlign val="subscript"/>
        <sz val="11"/>
        <color theme="1"/>
        <rFont val="Calibri"/>
        <family val="2"/>
        <scheme val="minor"/>
      </rPr>
      <t>s,2</t>
    </r>
    <r>
      <rPr>
        <sz val="11"/>
        <color theme="1"/>
        <rFont val="Calibri"/>
        <family val="2"/>
        <scheme val="minor"/>
      </rPr>
      <t xml:space="preserve"> (⁰C)</t>
    </r>
  </si>
  <si>
    <r>
      <t>Minimum Case Temperature (T</t>
    </r>
    <r>
      <rPr>
        <vertAlign val="subscript"/>
        <sz val="11"/>
        <color theme="1"/>
        <rFont val="Calibri"/>
        <family val="2"/>
        <scheme val="minor"/>
      </rPr>
      <t>s,1</t>
    </r>
    <r>
      <rPr>
        <sz val="11"/>
        <color theme="1"/>
        <rFont val="Calibri"/>
        <family val="2"/>
        <scheme val="minor"/>
      </rPr>
      <t>) for Extrapolation (K):</t>
    </r>
  </si>
  <si>
    <r>
      <t>Maximum Case Temperature (T</t>
    </r>
    <r>
      <rPr>
        <vertAlign val="subscript"/>
        <sz val="11"/>
        <color theme="1"/>
        <rFont val="Calibri"/>
        <family val="2"/>
        <scheme val="minor"/>
      </rPr>
      <t>s,2</t>
    </r>
    <r>
      <rPr>
        <sz val="11"/>
        <color theme="1"/>
        <rFont val="Calibri"/>
        <family val="2"/>
        <scheme val="minor"/>
      </rPr>
      <t>) for Extrapolation (K):</t>
    </r>
  </si>
  <si>
    <r>
      <t>In Situ Case Temperature (T</t>
    </r>
    <r>
      <rPr>
        <vertAlign val="subscript"/>
        <sz val="11"/>
        <color theme="1"/>
        <rFont val="Calibri"/>
        <family val="2"/>
        <scheme val="minor"/>
      </rPr>
      <t>s,i</t>
    </r>
    <r>
      <rPr>
        <sz val="11"/>
        <color theme="1"/>
        <rFont val="Calibri"/>
        <family val="2"/>
        <scheme val="minor"/>
      </rPr>
      <t>) (K):</t>
    </r>
  </si>
  <si>
    <t>Number of Samples Tested:</t>
  </si>
  <si>
    <t>Number of Failures:</t>
  </si>
  <si>
    <t>DUT drive current used in the test (mA):</t>
  </si>
  <si>
    <t>Test duration (hrs):</t>
  </si>
  <si>
    <t>Test duration used for projection (hr to hr):</t>
  </si>
  <si>
    <t>Tested case temperature (⁰C):</t>
  </si>
  <si>
    <t>Lumen maintenance at time (t) (%):</t>
  </si>
  <si>
    <t>Number of failures:</t>
  </si>
  <si>
    <t>Lumen Maintenance (%)</t>
  </si>
  <si>
    <t>Instructions</t>
  </si>
  <si>
    <t>Table 2: Report for Interpolation (based on in-situ temperature)</t>
  </si>
  <si>
    <t>Tested case temperature (⁰C)</t>
  </si>
  <si>
    <t>α</t>
  </si>
  <si>
    <t>B</t>
  </si>
  <si>
    <t>DUT drive current used in the test (mA)</t>
  </si>
  <si>
    <t>Number of failures</t>
  </si>
  <si>
    <t>Sample size</t>
  </si>
  <si>
    <t>Test duration (hours)</t>
  </si>
  <si>
    <t>Test duration used for projection (hour to hour)</t>
  </si>
  <si>
    <r>
      <t>T</t>
    </r>
    <r>
      <rPr>
        <vertAlign val="subscript"/>
        <sz val="11"/>
        <color theme="1"/>
        <rFont val="Arial"/>
        <family val="2"/>
      </rPr>
      <t>s,1</t>
    </r>
    <r>
      <rPr>
        <sz val="11"/>
        <color theme="1"/>
        <rFont val="Arial"/>
        <family val="2"/>
      </rPr>
      <t xml:space="preserve"> (⁰C)</t>
    </r>
  </si>
  <si>
    <r>
      <t>T</t>
    </r>
    <r>
      <rPr>
        <vertAlign val="subscript"/>
        <sz val="11"/>
        <color theme="1"/>
        <rFont val="Arial"/>
        <family val="2"/>
      </rPr>
      <t>s,1</t>
    </r>
    <r>
      <rPr>
        <sz val="11"/>
        <color theme="1"/>
        <rFont val="Arial"/>
        <family val="2"/>
      </rPr>
      <t xml:space="preserve"> (K)</t>
    </r>
  </si>
  <si>
    <r>
      <t>α</t>
    </r>
    <r>
      <rPr>
        <vertAlign val="subscript"/>
        <sz val="11"/>
        <color theme="1"/>
        <rFont val="Arial"/>
        <family val="2"/>
      </rPr>
      <t>1</t>
    </r>
  </si>
  <si>
    <r>
      <t>B</t>
    </r>
    <r>
      <rPr>
        <vertAlign val="subscript"/>
        <sz val="11"/>
        <color theme="1"/>
        <rFont val="Arial"/>
        <family val="2"/>
      </rPr>
      <t>1</t>
    </r>
  </si>
  <si>
    <r>
      <t>T</t>
    </r>
    <r>
      <rPr>
        <vertAlign val="subscript"/>
        <sz val="11"/>
        <color theme="1"/>
        <rFont val="Arial"/>
        <family val="2"/>
      </rPr>
      <t>s,2</t>
    </r>
    <r>
      <rPr>
        <sz val="11"/>
        <color theme="1"/>
        <rFont val="Arial"/>
        <family val="2"/>
      </rPr>
      <t xml:space="preserve"> (⁰C)</t>
    </r>
  </si>
  <si>
    <r>
      <t>T</t>
    </r>
    <r>
      <rPr>
        <vertAlign val="subscript"/>
        <sz val="11"/>
        <color theme="1"/>
        <rFont val="Arial"/>
        <family val="2"/>
      </rPr>
      <t>s,2</t>
    </r>
    <r>
      <rPr>
        <sz val="11"/>
        <color theme="1"/>
        <rFont val="Arial"/>
        <family val="2"/>
      </rPr>
      <t xml:space="preserve"> (K)</t>
    </r>
  </si>
  <si>
    <r>
      <t>α</t>
    </r>
    <r>
      <rPr>
        <vertAlign val="subscript"/>
        <sz val="11"/>
        <color theme="1"/>
        <rFont val="Arial"/>
        <family val="2"/>
      </rPr>
      <t>2</t>
    </r>
  </si>
  <si>
    <r>
      <t>B</t>
    </r>
    <r>
      <rPr>
        <vertAlign val="subscript"/>
        <sz val="11"/>
        <color theme="1"/>
        <rFont val="Arial"/>
        <family val="2"/>
      </rPr>
      <t>2</t>
    </r>
  </si>
  <si>
    <r>
      <t>E</t>
    </r>
    <r>
      <rPr>
        <vertAlign val="subscript"/>
        <sz val="11"/>
        <color theme="1"/>
        <rFont val="Arial"/>
        <family val="2"/>
      </rPr>
      <t>a</t>
    </r>
    <r>
      <rPr>
        <sz val="11"/>
        <color theme="1"/>
        <rFont val="Arial"/>
        <family val="2"/>
      </rPr>
      <t>/k</t>
    </r>
    <r>
      <rPr>
        <vertAlign val="subscript"/>
        <sz val="11"/>
        <color theme="1"/>
        <rFont val="Arial"/>
        <family val="2"/>
      </rPr>
      <t>b</t>
    </r>
  </si>
  <si>
    <r>
      <t>B</t>
    </r>
    <r>
      <rPr>
        <vertAlign val="subscript"/>
        <sz val="11"/>
        <color theme="1"/>
        <rFont val="Arial"/>
        <family val="2"/>
      </rPr>
      <t>0</t>
    </r>
  </si>
  <si>
    <r>
      <t>T</t>
    </r>
    <r>
      <rPr>
        <vertAlign val="subscript"/>
        <sz val="11"/>
        <color theme="1"/>
        <rFont val="Arial"/>
        <family val="2"/>
      </rPr>
      <t>s,i</t>
    </r>
    <r>
      <rPr>
        <sz val="11"/>
        <color theme="1"/>
        <rFont val="Arial"/>
        <family val="2"/>
      </rPr>
      <t xml:space="preserve"> (⁰C)</t>
    </r>
  </si>
  <si>
    <r>
      <t>T</t>
    </r>
    <r>
      <rPr>
        <vertAlign val="subscript"/>
        <sz val="11"/>
        <color theme="1"/>
        <rFont val="Arial"/>
        <family val="2"/>
      </rPr>
      <t>s,i</t>
    </r>
    <r>
      <rPr>
        <sz val="11"/>
        <color theme="1"/>
        <rFont val="Arial"/>
        <family val="2"/>
      </rPr>
      <t xml:space="preserve"> (K)</t>
    </r>
  </si>
  <si>
    <r>
      <t>α</t>
    </r>
    <r>
      <rPr>
        <vertAlign val="subscript"/>
        <sz val="11"/>
        <color theme="1"/>
        <rFont val="Arial"/>
        <family val="2"/>
      </rPr>
      <t>i</t>
    </r>
  </si>
  <si>
    <t>Table 2: Interpolation Report</t>
  </si>
  <si>
    <t>Time (hours)</t>
  </si>
  <si>
    <t>Test duration (hours):</t>
  </si>
  <si>
    <t>Number of units measured:</t>
  </si>
  <si>
    <t xml:space="preserve">Report Generated By: </t>
  </si>
  <si>
    <t xml:space="preserve">Company: </t>
  </si>
  <si>
    <t xml:space="preserve">Date: </t>
  </si>
  <si>
    <t>Description of LED Light Source Tested (manufacturer, model, 
catalog number)</t>
  </si>
  <si>
    <r>
      <rPr>
        <b/>
        <i/>
        <sz val="20"/>
        <color theme="1"/>
        <rFont val="Arial"/>
        <family val="2"/>
      </rPr>
      <t xml:space="preserve">In-Situ </t>
    </r>
    <r>
      <rPr>
        <b/>
        <sz val="20"/>
        <color theme="1"/>
        <rFont val="Arial"/>
        <family val="2"/>
      </rPr>
      <t>Inputs</t>
    </r>
  </si>
  <si>
    <t>Time (t) at which to estimate lumen maintenance (hours):</t>
  </si>
  <si>
    <t>Drive current for each 
LED package/array/module (mA):</t>
  </si>
  <si>
    <r>
      <rPr>
        <i/>
        <sz val="14"/>
        <color theme="1"/>
        <rFont val="Arial"/>
        <family val="2"/>
      </rPr>
      <t>In-situ</t>
    </r>
    <r>
      <rPr>
        <sz val="14"/>
        <color theme="1"/>
        <rFont val="Arial"/>
        <family val="2"/>
      </rPr>
      <t xml:space="preserve"> case temperature (T</t>
    </r>
    <r>
      <rPr>
        <vertAlign val="subscript"/>
        <sz val="14"/>
        <color theme="1"/>
        <rFont val="Arial"/>
        <family val="2"/>
      </rPr>
      <t>c</t>
    </r>
    <r>
      <rPr>
        <sz val="14"/>
        <color theme="1"/>
        <rFont val="Arial"/>
        <family val="2"/>
      </rPr>
      <t>, ⁰C):</t>
    </r>
  </si>
  <si>
    <r>
      <t>Percentage of initial lumens to project to (e.g. for L</t>
    </r>
    <r>
      <rPr>
        <vertAlign val="subscript"/>
        <sz val="14"/>
        <color theme="1"/>
        <rFont val="Arial"/>
        <family val="2"/>
      </rPr>
      <t>70</t>
    </r>
    <r>
      <rPr>
        <sz val="14"/>
        <color theme="1"/>
        <rFont val="Arial"/>
        <family val="2"/>
      </rPr>
      <t>, enter 70):</t>
    </r>
  </si>
  <si>
    <t xml:space="preserve">Notes: </t>
  </si>
  <si>
    <t>Interval</t>
  </si>
  <si>
    <t>Interval Dif.</t>
  </si>
  <si>
    <t>Input current (mA):</t>
  </si>
  <si>
    <t xml:space="preserve">Input voltage: </t>
  </si>
  <si>
    <r>
      <t>Tested ambient temperature 1 (T</t>
    </r>
    <r>
      <rPr>
        <vertAlign val="subscript"/>
        <sz val="14"/>
        <color theme="1"/>
        <rFont val="Arial"/>
        <family val="2"/>
      </rPr>
      <t>s</t>
    </r>
    <r>
      <rPr>
        <sz val="14"/>
        <color theme="1"/>
        <rFont val="Arial"/>
        <family val="2"/>
      </rPr>
      <t>, ⁰C):</t>
    </r>
  </si>
  <si>
    <r>
      <t>Tested ambient temperature 2 (T</t>
    </r>
    <r>
      <rPr>
        <vertAlign val="subscript"/>
        <sz val="14"/>
        <color theme="1"/>
        <rFont val="Arial"/>
        <family val="2"/>
      </rPr>
      <t>s</t>
    </r>
    <r>
      <rPr>
        <sz val="14"/>
        <color theme="1"/>
        <rFont val="Arial"/>
        <family val="2"/>
      </rPr>
      <t>, ⁰C):</t>
    </r>
  </si>
  <si>
    <t>Tested case temperature 1 (Tc, ⁰C):</t>
  </si>
  <si>
    <t>Tested case temperature 2 (Tc, ⁰C):</t>
  </si>
  <si>
    <t>LM-84 Test Inputs</t>
  </si>
  <si>
    <t>TM-28 Inputs</t>
  </si>
  <si>
    <t>TM-28 Report</t>
  </si>
  <si>
    <t>Table 1: Report at each LM-84 Test Condition</t>
  </si>
  <si>
    <t>Ambient Temperature (⁰C):</t>
  </si>
  <si>
    <t>Case Temperature (⁰C):</t>
  </si>
  <si>
    <t>LM-84 Testing Details</t>
  </si>
  <si>
    <t>Description of LED Lamp, Light Engine, or Luminaire 
(manufacturer, model, catalog number)</t>
  </si>
  <si>
    <r>
      <t xml:space="preserve">(projection based on </t>
    </r>
    <r>
      <rPr>
        <b/>
        <i/>
        <sz val="10"/>
        <color theme="0"/>
        <rFont val="Arial"/>
        <family val="2"/>
      </rPr>
      <t>in-situ</t>
    </r>
    <r>
      <rPr>
        <b/>
        <sz val="10"/>
        <color theme="0"/>
        <rFont val="Arial"/>
        <family val="2"/>
      </rPr>
      <t xml:space="preserve"> temperature entered)</t>
    </r>
  </si>
  <si>
    <t>Total number of units tested:</t>
  </si>
  <si>
    <t>Input power (watts):</t>
  </si>
  <si>
    <r>
      <t xml:space="preserve">Yellow fields are completed by the user; </t>
    </r>
    <r>
      <rPr>
        <i/>
        <sz val="14"/>
        <rFont val="Arial"/>
        <family val="2"/>
      </rPr>
      <t>fields not used should be left blank</t>
    </r>
    <r>
      <rPr>
        <sz val="14"/>
        <rFont val="Arial"/>
        <family val="2"/>
      </rPr>
      <t xml:space="preserve">.
Cyan fields are calculated based on user entries.
</t>
    </r>
    <r>
      <rPr>
        <u/>
        <sz val="14"/>
        <rFont val="Arial"/>
        <family val="2"/>
      </rPr>
      <t>Step 1</t>
    </r>
    <r>
      <rPr>
        <sz val="14"/>
        <rFont val="Arial"/>
        <family val="2"/>
      </rPr>
      <t xml:space="preserve">: Enter a description of the LED Lamp, Light Engine, or Luminaire tested.
</t>
    </r>
    <r>
      <rPr>
        <u/>
        <sz val="14"/>
        <rFont val="Arial"/>
        <family val="2"/>
      </rPr>
      <t>Step 2</t>
    </r>
    <r>
      <rPr>
        <sz val="14"/>
        <rFont val="Arial"/>
        <family val="2"/>
      </rPr>
      <t xml:space="preserve">: Complete the fields labeled "LM-84 Testing Details."
     - If one ambient temperature data set is to be used (i.e., no interpolation), enter a value for only "Tested ambient temperature 1."
     - If two ambient temperature data sets are available, the lower temperature must be entered as "Tested ambient temperature 1" and the higher temperature must be entered as "Tested ambient temperature 2." Note that, in order to use interpolation functions, the maximum case temperature measured at both ambient temperatures must be provided in accordance with the procedures specified in LM-84-14.
     - Test duration(s) must be at least 6,000 hours. If the test durations for the two ambient temperatures are different, for both temperatures enter data from the time period equal to the shorter time period (e.g., if 6,000 and 10,000 hour test durations, enter data for zero to 6,000 hours from both data sets).
</t>
    </r>
    <r>
      <rPr>
        <u/>
        <sz val="14"/>
        <rFont val="Arial"/>
        <family val="2"/>
      </rPr>
      <t>Step 3</t>
    </r>
    <r>
      <rPr>
        <sz val="14"/>
        <rFont val="Arial"/>
        <family val="2"/>
      </rPr>
      <t xml:space="preserve">: Enter the test data taken for the appropriate ambient temperature(s).
     - Time (hours) increments have been prepopulated consistent with LM-84; for test durations longer than 10,000 hours, enter additional measurement times as appropriate.
     - Lumen Maintenance (%) data entered must be normalized then averaged measured data (per TM-28-14 sections 5.1.1 and 5.1.2).
</t>
    </r>
    <r>
      <rPr>
        <u/>
        <sz val="14"/>
        <rFont val="Arial"/>
        <family val="2"/>
      </rPr>
      <t>Step 4</t>
    </r>
    <r>
      <rPr>
        <sz val="14"/>
        <rFont val="Arial"/>
        <family val="2"/>
      </rPr>
      <t xml:space="preserve">: If using the interpolation function, enter drive current, </t>
    </r>
    <r>
      <rPr>
        <i/>
        <sz val="14"/>
        <rFont val="Arial"/>
        <family val="2"/>
      </rPr>
      <t>in-situ</t>
    </r>
    <r>
      <rPr>
        <sz val="14"/>
        <rFont val="Arial"/>
        <family val="2"/>
      </rPr>
      <t xml:space="preserve"> temperature data and the percentage of initial lumens to project to in the fields labeled "</t>
    </r>
    <r>
      <rPr>
        <i/>
        <sz val="14"/>
        <rFont val="Arial"/>
        <family val="2"/>
      </rPr>
      <t>In-Situ</t>
    </r>
    <r>
      <rPr>
        <sz val="14"/>
        <rFont val="Arial"/>
        <family val="2"/>
      </rPr>
      <t xml:space="preserve"> Inputs." Note that this temperature must be a case temperature.
"Results" can be tailored to estimate lumen maintenance at a specific time by entering a value (t) in the yellow field. The complete TM-28 report can be found on the "TM-28 Report" tab.</t>
    </r>
  </si>
  <si>
    <r>
      <rPr>
        <b/>
        <u/>
        <sz val="12"/>
        <color theme="1"/>
        <rFont val="Arial"/>
        <family val="2"/>
      </rPr>
      <t>Note</t>
    </r>
    <r>
      <rPr>
        <b/>
        <sz val="12"/>
        <color theme="1"/>
        <rFont val="Arial"/>
        <family val="2"/>
      </rPr>
      <t>: Users should download a new copy of this calculator for each use, to ensure use of the most up-to-date version of the calculator.  Users are encouraged to bookmark the hyperlink to this calculator.  Project-specific copies complete with calculations may be saved on a local drive.</t>
    </r>
    <r>
      <rPr>
        <sz val="14"/>
        <color theme="1"/>
        <rFont val="Arial"/>
        <family val="2"/>
      </rPr>
      <t xml:space="preserve">
</t>
    </r>
    <r>
      <rPr>
        <sz val="10"/>
        <color theme="1"/>
        <rFont val="Arial"/>
        <family val="2"/>
      </rPr>
      <t xml:space="preserve"> </t>
    </r>
    <r>
      <rPr>
        <sz val="14"/>
        <color theme="1"/>
        <rFont val="Arial"/>
        <family val="2"/>
      </rPr>
      <t xml:space="preserve">
</t>
    </r>
    <r>
      <rPr>
        <sz val="12"/>
        <rFont val="Arial"/>
        <family val="2"/>
      </rPr>
      <t xml:space="preserve">This calculator is based on the Illuminating Engineering Society’s TM-28-14: </t>
    </r>
    <r>
      <rPr>
        <i/>
        <sz val="12"/>
        <rFont val="Arial"/>
        <family val="2"/>
      </rPr>
      <t>Projecting Long-Term Luminous Flux Maintenance of LED Lamps and Luminaires</t>
    </r>
    <r>
      <rPr>
        <sz val="12"/>
        <rFont val="Arial"/>
        <family val="2"/>
      </rPr>
      <t>. Calculator results have been reviewed by the U.S. National Institute of Stan</t>
    </r>
    <r>
      <rPr>
        <sz val="12"/>
        <color theme="1"/>
        <rFont val="Arial"/>
        <family val="2"/>
      </rPr>
      <t>dards and Technology (NIST). Calculations are locked; only data entry cells may be modified.
Enter all product and test data as instructed on the "TM-28 Inputs" tab. The complete TM-28 report will appear on the "TM-28 Report" tab.
Questions may be directed to lighting@energystar.gov.</t>
    </r>
  </si>
  <si>
    <r>
      <t xml:space="preserve">       ENERGY STAR</t>
    </r>
    <r>
      <rPr>
        <b/>
        <vertAlign val="superscript"/>
        <sz val="18"/>
        <rFont val="Arial"/>
        <family val="2"/>
      </rPr>
      <t>®</t>
    </r>
    <r>
      <rPr>
        <b/>
        <sz val="18"/>
        <rFont val="Arial"/>
        <family val="2"/>
      </rPr>
      <t xml:space="preserve"> TM-28 Calculator
</t>
    </r>
    <r>
      <rPr>
        <b/>
        <sz val="9"/>
        <rFont val="Arial"/>
        <family val="2"/>
      </rPr>
      <t xml:space="preserve">
</t>
    </r>
    <r>
      <rPr>
        <b/>
        <sz val="12"/>
        <rFont val="Arial"/>
        <family val="2"/>
      </rPr>
      <t>February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</si>
</sst>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00E+00"/>
    <numFmt numFmtId="165" formatCode="0.00000"/>
    <numFmt numFmtId="166" formatCode="0.0000E+00"/>
    <numFmt numFmtId="167" formatCode="0.00000E+00"/>
    <numFmt numFmtId="168" formatCode="_(* #,##0_);_(* \(#,##0\);_(* &quot;-&quot;??_);_(@_)"/>
    <numFmt numFmtId="169" formatCode="0.000"/>
    <numFmt numFmtId="170" formatCode="0.0000"/>
  </numFmts>
  <fonts count="48" x14ac:knownFonts="1">
    <font>
      <sz val="11"/>
      <color theme="1"/>
      <name val="Calibri"/>
      <family val="2"/>
      <scheme val="minor"/>
    </font>
    <font>
      <sz val="11"/>
      <color theme="1"/>
      <name val="Calibri"/>
      <family val="2"/>
      <scheme val="minor"/>
    </font>
    <font>
      <sz val="11"/>
      <color theme="1"/>
      <name val="Calibri"/>
      <family val="2"/>
    </font>
    <font>
      <sz val="12"/>
      <color theme="0"/>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vertAlign val="subscript"/>
      <sz val="11"/>
      <color theme="1"/>
      <name val="Calibri"/>
      <family val="2"/>
      <scheme val="minor"/>
    </font>
    <font>
      <vertAlign val="subscript"/>
      <sz val="9.35"/>
      <color theme="1"/>
      <name val="Calibri"/>
      <family val="2"/>
    </font>
    <font>
      <vertAlign val="subscript"/>
      <sz val="11"/>
      <color theme="1"/>
      <name val="Calibri"/>
      <family val="2"/>
    </font>
    <font>
      <sz val="11"/>
      <color theme="0" tint="-0.249977111117893"/>
      <name val="Calibri"/>
      <family val="2"/>
      <scheme val="minor"/>
    </font>
    <font>
      <sz val="11"/>
      <color theme="1"/>
      <name val="Arial"/>
      <family val="2"/>
    </font>
    <font>
      <b/>
      <sz val="18"/>
      <name val="Arial"/>
      <family val="2"/>
    </font>
    <font>
      <b/>
      <sz val="14"/>
      <color theme="1"/>
      <name val="Arial"/>
      <family val="2"/>
    </font>
    <font>
      <sz val="16"/>
      <color theme="1"/>
      <name val="Arial"/>
      <family val="2"/>
    </font>
    <font>
      <sz val="12"/>
      <color theme="1"/>
      <name val="Arial"/>
      <family val="2"/>
    </font>
    <font>
      <b/>
      <vertAlign val="superscript"/>
      <sz val="18"/>
      <name val="Arial"/>
      <family val="2"/>
    </font>
    <font>
      <sz val="14"/>
      <color theme="1"/>
      <name val="Arial"/>
      <family val="2"/>
    </font>
    <font>
      <sz val="14"/>
      <color theme="0"/>
      <name val="Arial"/>
      <family val="2"/>
    </font>
    <font>
      <b/>
      <sz val="11"/>
      <color theme="1"/>
      <name val="Arial"/>
      <family val="2"/>
    </font>
    <font>
      <sz val="14"/>
      <color rgb="FFFF0000"/>
      <name val="Arial"/>
      <family val="2"/>
    </font>
    <font>
      <sz val="11"/>
      <color rgb="FFFF0000"/>
      <name val="Arial"/>
      <family val="2"/>
    </font>
    <font>
      <sz val="12"/>
      <color rgb="FFFF0000"/>
      <name val="Arial"/>
      <family val="2"/>
    </font>
    <font>
      <i/>
      <sz val="14"/>
      <color theme="1"/>
      <name val="Arial"/>
      <family val="2"/>
    </font>
    <font>
      <vertAlign val="subscript"/>
      <sz val="14"/>
      <color theme="1"/>
      <name val="Arial"/>
      <family val="2"/>
    </font>
    <font>
      <b/>
      <sz val="20"/>
      <color theme="1"/>
      <name val="Arial"/>
      <family val="2"/>
    </font>
    <font>
      <b/>
      <sz val="28"/>
      <color theme="1"/>
      <name val="Arial"/>
      <family val="2"/>
    </font>
    <font>
      <b/>
      <i/>
      <sz val="20"/>
      <color theme="1"/>
      <name val="Arial"/>
      <family val="2"/>
    </font>
    <font>
      <b/>
      <sz val="22"/>
      <color theme="1"/>
      <name val="Arial"/>
      <family val="2"/>
    </font>
    <font>
      <b/>
      <sz val="11"/>
      <name val="Arial"/>
      <family val="2"/>
    </font>
    <font>
      <sz val="11"/>
      <name val="Arial"/>
      <family val="2"/>
    </font>
    <font>
      <b/>
      <sz val="11"/>
      <color theme="0"/>
      <name val="Arial"/>
      <family val="2"/>
    </font>
    <font>
      <vertAlign val="subscript"/>
      <sz val="11"/>
      <color theme="1"/>
      <name val="Arial"/>
      <family val="2"/>
    </font>
    <font>
      <sz val="10"/>
      <color theme="1"/>
      <name val="Arial"/>
      <family val="2"/>
    </font>
    <font>
      <b/>
      <sz val="12"/>
      <color theme="1"/>
      <name val="Arial"/>
      <family val="2"/>
    </font>
    <font>
      <sz val="8"/>
      <color theme="1"/>
      <name val="Arial"/>
      <family val="2"/>
    </font>
    <font>
      <b/>
      <sz val="10"/>
      <color theme="1"/>
      <name val="Arial"/>
      <family val="2"/>
    </font>
    <font>
      <sz val="14"/>
      <name val="Arial"/>
      <family val="2"/>
    </font>
    <font>
      <u/>
      <sz val="14"/>
      <name val="Arial"/>
      <family val="2"/>
    </font>
    <font>
      <i/>
      <sz val="14"/>
      <name val="Arial"/>
      <family val="2"/>
    </font>
    <font>
      <sz val="12"/>
      <name val="Arial"/>
      <family val="2"/>
    </font>
    <font>
      <i/>
      <sz val="12"/>
      <name val="Arial"/>
      <family val="2"/>
    </font>
    <font>
      <b/>
      <u/>
      <sz val="12"/>
      <color theme="1"/>
      <name val="Arial"/>
      <family val="2"/>
    </font>
    <font>
      <b/>
      <sz val="10"/>
      <color theme="0"/>
      <name val="Arial"/>
      <family val="2"/>
    </font>
    <font>
      <b/>
      <i/>
      <sz val="10"/>
      <color theme="0"/>
      <name val="Arial"/>
      <family val="2"/>
    </font>
    <font>
      <b/>
      <sz val="14"/>
      <color theme="0"/>
      <name val="Arial"/>
      <family val="2"/>
    </font>
    <font>
      <b/>
      <sz val="12"/>
      <name val="Arial"/>
      <family val="2"/>
    </font>
    <font>
      <b/>
      <sz val="9"/>
      <name val="Arial"/>
      <family val="2"/>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tint="-0.24994659260841701"/>
        <bgColor indexed="64"/>
      </patternFill>
    </fill>
    <fill>
      <patternFill patternType="solid">
        <fgColor rgb="FF00B7EB"/>
        <bgColor indexed="64"/>
      </patternFill>
    </fill>
    <fill>
      <patternFill patternType="solid">
        <fgColor theme="0"/>
        <bgColor theme="0"/>
      </patternFill>
    </fill>
    <fill>
      <patternFill patternType="solid">
        <fgColor indexed="65"/>
        <bgColor theme="0"/>
      </patternFill>
    </fill>
    <fill>
      <patternFill patternType="solid">
        <fgColor theme="1"/>
        <bgColor indexed="64"/>
      </patternFill>
    </fill>
    <fill>
      <patternFill patternType="solid">
        <fgColor theme="0" tint="-0.249977111117893"/>
        <bgColor indexed="64"/>
      </patternFill>
    </fill>
  </fills>
  <borders count="89">
    <border>
      <left/>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thin">
        <color auto="1"/>
      </top>
      <bottom style="dashed">
        <color theme="0" tint="-0.34998626667073579"/>
      </bottom>
      <diagonal/>
    </border>
    <border>
      <left style="dashed">
        <color auto="1"/>
      </left>
      <right style="medium">
        <color auto="1"/>
      </right>
      <top style="dashed">
        <color theme="0" tint="-0.34998626667073579"/>
      </top>
      <bottom style="dashed">
        <color theme="0" tint="-0.34998626667073579"/>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dashed">
        <color auto="1"/>
      </left>
      <right style="dashed">
        <color auto="1"/>
      </right>
      <top style="thin">
        <color auto="1"/>
      </top>
      <bottom style="dashed">
        <color theme="0" tint="-0.34998626667073579"/>
      </bottom>
      <diagonal/>
    </border>
    <border>
      <left style="dashed">
        <color auto="1"/>
      </left>
      <right style="dashed">
        <color auto="1"/>
      </right>
      <top style="dashed">
        <color theme="0" tint="-0.34998626667073579"/>
      </top>
      <bottom style="dashed">
        <color theme="0" tint="-0.34998626667073579"/>
      </bottom>
      <diagonal/>
    </border>
    <border>
      <left style="dashed">
        <color auto="1"/>
      </left>
      <right style="dashed">
        <color auto="1"/>
      </right>
      <top style="dashed">
        <color theme="0" tint="-0.34998626667073579"/>
      </top>
      <bottom style="thin">
        <color auto="1"/>
      </bottom>
      <diagonal/>
    </border>
    <border>
      <left style="dashed">
        <color auto="1"/>
      </left>
      <right style="medium">
        <color auto="1"/>
      </right>
      <top style="dashed">
        <color theme="0" tint="-0.34998626667073579"/>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dashed">
        <color auto="1"/>
      </right>
      <top style="thin">
        <color auto="1"/>
      </top>
      <bottom style="medium">
        <color auto="1"/>
      </bottom>
      <diagonal/>
    </border>
    <border>
      <left/>
      <right style="medium">
        <color auto="1"/>
      </right>
      <top style="dashed">
        <color theme="0" tint="-0.34998626667073579"/>
      </top>
      <bottom style="dashed">
        <color theme="0" tint="-0.34998626667073579"/>
      </bottom>
      <diagonal/>
    </border>
    <border>
      <left/>
      <right style="medium">
        <color auto="1"/>
      </right>
      <top style="dashed">
        <color theme="0" tint="-0.34998626667073579"/>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dashed">
        <color theme="0" tint="-0.34998626667073579"/>
      </bottom>
      <diagonal/>
    </border>
    <border>
      <left style="medium">
        <color auto="1"/>
      </left>
      <right style="thin">
        <color auto="1"/>
      </right>
      <top style="thin">
        <color auto="1"/>
      </top>
      <bottom style="dashed">
        <color theme="0" tint="-0.34998626667073579"/>
      </bottom>
      <diagonal/>
    </border>
    <border>
      <left style="medium">
        <color auto="1"/>
      </left>
      <right style="thin">
        <color auto="1"/>
      </right>
      <top style="dashed">
        <color theme="0" tint="-0.34998626667073579"/>
      </top>
      <bottom style="dashed">
        <color theme="0" tint="-0.34998626667073579"/>
      </bottom>
      <diagonal/>
    </border>
    <border>
      <left style="medium">
        <color auto="1"/>
      </left>
      <right style="thin">
        <color auto="1"/>
      </right>
      <top style="dashed">
        <color theme="0" tint="-0.34998626667073579"/>
      </top>
      <bottom style="medium">
        <color auto="1"/>
      </bottom>
      <diagonal/>
    </border>
    <border>
      <left/>
      <right style="dashed">
        <color auto="1"/>
      </right>
      <top style="thin">
        <color auto="1"/>
      </top>
      <bottom style="thin">
        <color auto="1"/>
      </bottom>
      <diagonal/>
    </border>
    <border>
      <left/>
      <right style="dashed">
        <color auto="1"/>
      </right>
      <top style="dashed">
        <color theme="0" tint="-0.34998626667073579"/>
      </top>
      <bottom style="dashed">
        <color theme="0" tint="-0.34998626667073579"/>
      </bottom>
      <diagonal/>
    </border>
    <border>
      <left style="medium">
        <color auto="1"/>
      </left>
      <right style="thin">
        <color auto="1"/>
      </right>
      <top style="thin">
        <color auto="1"/>
      </top>
      <bottom style="thin">
        <color auto="1"/>
      </bottom>
      <diagonal/>
    </border>
    <border>
      <left style="medium">
        <color auto="1"/>
      </left>
      <right style="thin">
        <color auto="1"/>
      </right>
      <top style="dashed">
        <color theme="0" tint="-0.34998626667073579"/>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dashed">
        <color auto="1"/>
      </right>
      <top style="thin">
        <color auto="1"/>
      </top>
      <bottom style="dashed">
        <color theme="0" tint="-0.24994659260841701"/>
      </bottom>
      <diagonal/>
    </border>
    <border>
      <left style="dashed">
        <color auto="1"/>
      </left>
      <right style="thin">
        <color auto="1"/>
      </right>
      <top style="thin">
        <color auto="1"/>
      </top>
      <bottom style="dashed">
        <color theme="0" tint="-0.24994659260841701"/>
      </bottom>
      <diagonal/>
    </border>
    <border>
      <left style="medium">
        <color auto="1"/>
      </left>
      <right style="dashed">
        <color auto="1"/>
      </right>
      <top style="dashed">
        <color theme="0" tint="-0.24994659260841701"/>
      </top>
      <bottom style="dashed">
        <color theme="0" tint="-0.24994659260841701"/>
      </bottom>
      <diagonal/>
    </border>
    <border>
      <left style="dashed">
        <color auto="1"/>
      </left>
      <right style="thin">
        <color auto="1"/>
      </right>
      <top style="dashed">
        <color theme="0" tint="-0.24994659260841701"/>
      </top>
      <bottom style="dashed">
        <color theme="0" tint="-0.24994659260841701"/>
      </bottom>
      <diagonal/>
    </border>
    <border>
      <left style="medium">
        <color auto="1"/>
      </left>
      <right style="dashed">
        <color auto="1"/>
      </right>
      <top style="dashed">
        <color theme="0" tint="-0.24994659260841701"/>
      </top>
      <bottom style="medium">
        <color auto="1"/>
      </bottom>
      <diagonal/>
    </border>
    <border>
      <left style="dashed">
        <color auto="1"/>
      </left>
      <right style="thin">
        <color auto="1"/>
      </right>
      <top style="dashed">
        <color theme="0" tint="-0.24994659260841701"/>
      </top>
      <bottom style="medium">
        <color auto="1"/>
      </bottom>
      <diagonal/>
    </border>
    <border>
      <left style="dashed">
        <color auto="1"/>
      </left>
      <right style="medium">
        <color auto="1"/>
      </right>
      <top style="thin">
        <color auto="1"/>
      </top>
      <bottom style="dashed">
        <color theme="0" tint="-0.24994659260841701"/>
      </bottom>
      <diagonal/>
    </border>
    <border>
      <left style="dashed">
        <color auto="1"/>
      </left>
      <right style="medium">
        <color auto="1"/>
      </right>
      <top style="dashed">
        <color theme="0" tint="-0.24994659260841701"/>
      </top>
      <bottom style="dashed">
        <color theme="0" tint="-0.24994659260841701"/>
      </bottom>
      <diagonal/>
    </border>
    <border>
      <left style="dashed">
        <color auto="1"/>
      </left>
      <right style="medium">
        <color auto="1"/>
      </right>
      <top style="dashed">
        <color theme="0" tint="-0.24994659260841701"/>
      </top>
      <bottom style="medium">
        <color auto="1"/>
      </bottom>
      <diagonal/>
    </border>
    <border>
      <left style="medium">
        <color auto="1"/>
      </left>
      <right style="thin">
        <color auto="1"/>
      </right>
      <top style="medium">
        <color auto="1"/>
      </top>
      <bottom style="dashed">
        <color theme="0" tint="-0.24994659260841701"/>
      </bottom>
      <diagonal/>
    </border>
    <border>
      <left style="thin">
        <color auto="1"/>
      </left>
      <right style="medium">
        <color auto="1"/>
      </right>
      <top style="medium">
        <color auto="1"/>
      </top>
      <bottom style="dashed">
        <color theme="0" tint="-0.24994659260841701"/>
      </bottom>
      <diagonal/>
    </border>
    <border>
      <left style="medium">
        <color auto="1"/>
      </left>
      <right style="thin">
        <color auto="1"/>
      </right>
      <top style="dashed">
        <color theme="0" tint="-0.24994659260841701"/>
      </top>
      <bottom style="dashed">
        <color theme="0" tint="-0.24994659260841701"/>
      </bottom>
      <diagonal/>
    </border>
    <border>
      <left style="thin">
        <color auto="1"/>
      </left>
      <right style="medium">
        <color auto="1"/>
      </right>
      <top style="dashed">
        <color theme="0" tint="-0.24994659260841701"/>
      </top>
      <bottom style="dashed">
        <color theme="0" tint="-0.24994659260841701"/>
      </bottom>
      <diagonal/>
    </border>
    <border>
      <left style="medium">
        <color auto="1"/>
      </left>
      <right style="thin">
        <color auto="1"/>
      </right>
      <top style="dashed">
        <color theme="0" tint="-0.24994659260841701"/>
      </top>
      <bottom style="medium">
        <color auto="1"/>
      </bottom>
      <diagonal/>
    </border>
    <border>
      <left style="thin">
        <color auto="1"/>
      </left>
      <right style="medium">
        <color auto="1"/>
      </right>
      <top style="dashed">
        <color theme="0" tint="-0.24994659260841701"/>
      </top>
      <bottom style="medium">
        <color auto="1"/>
      </bottom>
      <diagonal/>
    </border>
    <border>
      <left style="medium">
        <color auto="1"/>
      </left>
      <right/>
      <top style="dashed">
        <color theme="0" tint="-0.24994659260841701"/>
      </top>
      <bottom style="dashed">
        <color theme="0" tint="-0.24994659260841701"/>
      </bottom>
      <diagonal/>
    </border>
    <border>
      <left style="medium">
        <color auto="1"/>
      </left>
      <right/>
      <top style="dashed">
        <color theme="0" tint="-0.24994659260841701"/>
      </top>
      <bottom style="medium">
        <color auto="1"/>
      </bottom>
      <diagonal/>
    </border>
    <border>
      <left style="medium">
        <color auto="1"/>
      </left>
      <right/>
      <top style="medium">
        <color auto="1"/>
      </top>
      <bottom style="dashed">
        <color theme="0" tint="-0.2499465926084170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dashed">
        <color theme="0" tint="-0.24994659260841701"/>
      </bottom>
      <diagonal/>
    </border>
    <border>
      <left style="medium">
        <color auto="1"/>
      </left>
      <right style="medium">
        <color auto="1"/>
      </right>
      <top style="medium">
        <color auto="1"/>
      </top>
      <bottom style="dashed">
        <color theme="0" tint="-0.24994659260841701"/>
      </bottom>
      <diagonal/>
    </border>
    <border>
      <left style="medium">
        <color auto="1"/>
      </left>
      <right style="medium">
        <color auto="1"/>
      </right>
      <top style="dashed">
        <color theme="0" tint="-0.24994659260841701"/>
      </top>
      <bottom style="dashed">
        <color theme="0" tint="-0.24994659260841701"/>
      </bottom>
      <diagonal/>
    </border>
    <border>
      <left style="medium">
        <color auto="1"/>
      </left>
      <right style="medium">
        <color auto="1"/>
      </right>
      <top style="dashed">
        <color theme="0" tint="-0.24994659260841701"/>
      </top>
      <bottom style="medium">
        <color auto="1"/>
      </bottom>
      <diagonal/>
    </border>
    <border>
      <left style="medium">
        <color auto="1"/>
      </left>
      <right style="dashed">
        <color auto="1"/>
      </right>
      <top/>
      <bottom style="dashed">
        <color theme="0" tint="-0.24994659260841701"/>
      </bottom>
      <diagonal/>
    </border>
    <border>
      <left style="dashed">
        <color auto="1"/>
      </left>
      <right style="medium">
        <color auto="1"/>
      </right>
      <top/>
      <bottom style="dashed">
        <color theme="0" tint="-0.24994659260841701"/>
      </bottom>
      <diagonal/>
    </border>
    <border>
      <left style="medium">
        <color auto="1"/>
      </left>
      <right style="thin">
        <color auto="1"/>
      </right>
      <top/>
      <bottom style="dashed">
        <color theme="0" tint="-0.24994659260841701"/>
      </bottom>
      <diagonal/>
    </border>
    <border>
      <left style="thin">
        <color auto="1"/>
      </left>
      <right style="medium">
        <color auto="1"/>
      </right>
      <top/>
      <bottom style="dashed">
        <color theme="0" tint="-0.24994659260841701"/>
      </bottom>
      <diagonal/>
    </border>
    <border>
      <left style="medium">
        <color auto="1"/>
      </left>
      <right style="thin">
        <color auto="1"/>
      </right>
      <top style="dashed">
        <color theme="0" tint="-0.24994659260841701"/>
      </top>
      <bottom/>
      <diagonal/>
    </border>
    <border>
      <left style="thin">
        <color auto="1"/>
      </left>
      <right style="medium">
        <color auto="1"/>
      </right>
      <top style="dashed">
        <color theme="0" tint="-0.24994659260841701"/>
      </top>
      <bottom/>
      <diagonal/>
    </border>
    <border>
      <left style="medium">
        <color auto="1"/>
      </left>
      <right style="thin">
        <color auto="1"/>
      </right>
      <top style="thin">
        <color auto="1"/>
      </top>
      <bottom style="dashed">
        <color theme="0" tint="-0.24994659260841701"/>
      </bottom>
      <diagonal/>
    </border>
    <border>
      <left style="thin">
        <color auto="1"/>
      </left>
      <right style="medium">
        <color auto="1"/>
      </right>
      <top style="thin">
        <color auto="1"/>
      </top>
      <bottom style="dashed">
        <color theme="0" tint="-0.24994659260841701"/>
      </bottom>
      <diagonal/>
    </border>
    <border>
      <left style="medium">
        <color auto="1"/>
      </left>
      <right style="thin">
        <color auto="1"/>
      </right>
      <top style="dashed">
        <color theme="0" tint="-0.24994659260841701"/>
      </top>
      <bottom style="thin">
        <color auto="1"/>
      </bottom>
      <diagonal/>
    </border>
    <border>
      <left style="thin">
        <color auto="1"/>
      </left>
      <right style="medium">
        <color auto="1"/>
      </right>
      <top style="dashed">
        <color theme="0" tint="-0.24994659260841701"/>
      </top>
      <bottom style="thin">
        <color auto="1"/>
      </bottom>
      <diagonal/>
    </border>
    <border>
      <left style="medium">
        <color auto="1"/>
      </left>
      <right style="dashed">
        <color auto="1"/>
      </right>
      <top style="dashed">
        <color theme="0" tint="-0.24994659260841701"/>
      </top>
      <bottom/>
      <diagonal/>
    </border>
    <border>
      <left style="dashed">
        <color auto="1"/>
      </left>
      <right style="medium">
        <color auto="1"/>
      </right>
      <top style="dashed">
        <color theme="0" tint="-0.24994659260841701"/>
      </top>
      <bottom/>
      <diagonal/>
    </border>
    <border>
      <left style="thin">
        <color auto="1"/>
      </left>
      <right style="medium">
        <color auto="1"/>
      </right>
      <top style="dashed">
        <color theme="0" tint="-0.14996795556505021"/>
      </top>
      <bottom style="medium">
        <color auto="1"/>
      </bottom>
      <diagonal/>
    </border>
    <border>
      <left style="medium">
        <color auto="1"/>
      </left>
      <right style="medium">
        <color auto="1"/>
      </right>
      <top/>
      <bottom style="dashed">
        <color theme="0" tint="-0.24994659260841701"/>
      </bottom>
      <diagonal/>
    </border>
    <border>
      <left/>
      <right style="medium">
        <color auto="1"/>
      </right>
      <top style="dashed">
        <color theme="0" tint="-0.24994659260841701"/>
      </top>
      <bottom style="dashed">
        <color theme="0" tint="-0.2499465926084170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top style="medium">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right/>
      <top style="thin">
        <color auto="1"/>
      </top>
      <bottom style="thin">
        <color auto="1"/>
      </bottom>
      <diagonal/>
    </border>
    <border>
      <left/>
      <right style="dashed">
        <color auto="1"/>
      </right>
      <top style="thin">
        <color auto="1"/>
      </top>
      <bottom style="dashed">
        <color theme="0" tint="-0.24994659260841701"/>
      </bottom>
      <diagonal/>
    </border>
    <border>
      <left/>
      <right style="dashed">
        <color auto="1"/>
      </right>
      <top style="dashed">
        <color theme="0" tint="-0.24994659260841701"/>
      </top>
      <bottom style="dashed">
        <color theme="0" tint="-0.24994659260841701"/>
      </bottom>
      <diagonal/>
    </border>
    <border>
      <left/>
      <right style="dashed">
        <color auto="1"/>
      </right>
      <top style="dashed">
        <color theme="0" tint="-0.24994659260841701"/>
      </top>
      <bottom style="medium">
        <color auto="1"/>
      </bottom>
      <diagonal/>
    </border>
    <border>
      <left style="thin">
        <color auto="1"/>
      </left>
      <right style="thin">
        <color auto="1"/>
      </right>
      <top/>
      <bottom style="medium">
        <color auto="1"/>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01">
    <xf numFmtId="0" fontId="0" fillId="0" borderId="0" xfId="0"/>
    <xf numFmtId="0" fontId="0" fillId="2" borderId="0" xfId="0" applyFill="1"/>
    <xf numFmtId="9" fontId="0" fillId="2" borderId="17" xfId="1" applyFont="1" applyFill="1" applyBorder="1" applyAlignment="1">
      <alignment horizontal="center" vertical="center"/>
    </xf>
    <xf numFmtId="9" fontId="0" fillId="2" borderId="18" xfId="1" applyFont="1" applyFill="1" applyBorder="1" applyAlignment="1">
      <alignment horizontal="center" vertical="center"/>
    </xf>
    <xf numFmtId="9" fontId="0" fillId="2" borderId="19" xfId="1" applyFont="1" applyFill="1" applyBorder="1" applyAlignment="1">
      <alignment horizontal="center" vertical="center"/>
    </xf>
    <xf numFmtId="0" fontId="0" fillId="2" borderId="30" xfId="0" applyFill="1" applyBorder="1" applyAlignment="1">
      <alignment horizontal="center" vertical="center"/>
    </xf>
    <xf numFmtId="0" fontId="0" fillId="2" borderId="35" xfId="0" applyFill="1" applyBorder="1" applyAlignment="1">
      <alignment horizontal="center" vertical="center"/>
    </xf>
    <xf numFmtId="3" fontId="0" fillId="2" borderId="33" xfId="1" applyNumberFormat="1" applyFont="1" applyFill="1" applyBorder="1" applyAlignment="1">
      <alignment horizontal="center" vertical="center"/>
    </xf>
    <xf numFmtId="165" fontId="0" fillId="2" borderId="17" xfId="2" applyNumberFormat="1" applyFont="1" applyFill="1" applyBorder="1" applyAlignment="1">
      <alignment horizontal="center" vertical="center"/>
    </xf>
    <xf numFmtId="165" fontId="0" fillId="2" borderId="18" xfId="2" applyNumberFormat="1" applyFont="1" applyFill="1" applyBorder="1" applyAlignment="1">
      <alignment horizontal="center" vertical="center"/>
    </xf>
    <xf numFmtId="165" fontId="0" fillId="2" borderId="19" xfId="2" applyNumberFormat="1" applyFont="1" applyFill="1" applyBorder="1" applyAlignment="1">
      <alignment horizontal="center" vertical="center"/>
    </xf>
    <xf numFmtId="4" fontId="0" fillId="2" borderId="17" xfId="1" applyNumberFormat="1" applyFont="1" applyFill="1" applyBorder="1" applyAlignment="1">
      <alignment horizontal="center" vertical="center"/>
    </xf>
    <xf numFmtId="4" fontId="0" fillId="2" borderId="18" xfId="1" applyNumberFormat="1" applyFont="1" applyFill="1" applyBorder="1" applyAlignment="1">
      <alignment horizontal="center" vertical="center"/>
    </xf>
    <xf numFmtId="4" fontId="0" fillId="2" borderId="19" xfId="1" applyNumberFormat="1" applyFont="1" applyFill="1" applyBorder="1" applyAlignment="1">
      <alignment horizontal="center" vertical="center"/>
    </xf>
    <xf numFmtId="3" fontId="0" fillId="2" borderId="17" xfId="0" applyNumberFormat="1" applyFill="1" applyBorder="1" applyAlignment="1">
      <alignment horizontal="center" vertical="center"/>
    </xf>
    <xf numFmtId="4" fontId="0" fillId="2" borderId="4" xfId="0" applyNumberFormat="1" applyFill="1" applyBorder="1" applyAlignment="1">
      <alignment horizontal="center" vertical="center"/>
    </xf>
    <xf numFmtId="3" fontId="0" fillId="2" borderId="18" xfId="0" applyNumberFormat="1" applyFill="1" applyBorder="1" applyAlignment="1">
      <alignment horizontal="center" vertical="center"/>
    </xf>
    <xf numFmtId="4" fontId="0" fillId="2" borderId="5" xfId="0" applyNumberFormat="1" applyFill="1" applyBorder="1" applyAlignment="1">
      <alignment horizontal="center" vertical="center"/>
    </xf>
    <xf numFmtId="3" fontId="0" fillId="2" borderId="19" xfId="0" applyNumberFormat="1" applyFill="1" applyBorder="1" applyAlignment="1">
      <alignment horizontal="center" vertical="center"/>
    </xf>
    <xf numFmtId="4" fontId="0" fillId="2" borderId="20" xfId="0" applyNumberFormat="1" applyFill="1" applyBorder="1" applyAlignment="1">
      <alignment horizontal="center" vertical="center"/>
    </xf>
    <xf numFmtId="0" fontId="0" fillId="2" borderId="27" xfId="0" applyFill="1" applyBorder="1" applyAlignment="1">
      <alignment horizontal="center" vertical="center"/>
    </xf>
    <xf numFmtId="3" fontId="0" fillId="2" borderId="24" xfId="0" applyNumberFormat="1" applyFill="1" applyBorder="1" applyAlignment="1">
      <alignment horizontal="center" vertical="center"/>
    </xf>
    <xf numFmtId="9" fontId="0" fillId="2" borderId="22" xfId="0" applyNumberFormat="1" applyFill="1" applyBorder="1" applyAlignment="1">
      <alignment horizontal="center" vertical="center"/>
    </xf>
    <xf numFmtId="165" fontId="0" fillId="2" borderId="22" xfId="0" applyNumberFormat="1" applyFill="1" applyBorder="1" applyAlignment="1">
      <alignment horizontal="center" vertical="center"/>
    </xf>
    <xf numFmtId="4" fontId="0" fillId="2" borderId="22" xfId="0" applyNumberFormat="1" applyFill="1" applyBorder="1" applyAlignment="1">
      <alignment horizontal="center" vertical="center"/>
    </xf>
    <xf numFmtId="3" fontId="0" fillId="2" borderId="22" xfId="0" applyNumberFormat="1" applyFill="1" applyBorder="1" applyAlignment="1">
      <alignment horizontal="center" vertical="center"/>
    </xf>
    <xf numFmtId="4" fontId="0" fillId="2" borderId="23" xfId="0" applyNumberFormat="1" applyFill="1" applyBorder="1" applyAlignment="1">
      <alignment horizontal="center" vertical="center"/>
    </xf>
    <xf numFmtId="3" fontId="0" fillId="2" borderId="26" xfId="0" applyNumberFormat="1" applyFill="1" applyBorder="1" applyAlignment="1">
      <alignment horizontal="right" vertical="center"/>
    </xf>
    <xf numFmtId="0" fontId="0" fillId="4" borderId="34" xfId="0" applyFill="1" applyBorder="1" applyAlignment="1">
      <alignment horizontal="center" vertical="center"/>
    </xf>
    <xf numFmtId="0" fontId="0" fillId="4" borderId="32"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29" xfId="0" applyFill="1" applyBorder="1" applyAlignment="1">
      <alignment vertical="center"/>
    </xf>
    <xf numFmtId="164" fontId="0" fillId="2" borderId="28" xfId="0" applyNumberFormat="1" applyFill="1" applyBorder="1" applyAlignment="1">
      <alignment vertical="center"/>
    </xf>
    <xf numFmtId="0" fontId="0" fillId="4" borderId="30" xfId="0" applyFill="1" applyBorder="1" applyAlignment="1">
      <alignment vertical="center"/>
    </xf>
    <xf numFmtId="164" fontId="0" fillId="2" borderId="25" xfId="0" applyNumberFormat="1" applyFill="1" applyBorder="1" applyAlignment="1">
      <alignment vertical="center"/>
    </xf>
    <xf numFmtId="0" fontId="2" fillId="4" borderId="30" xfId="0" applyFont="1" applyFill="1" applyBorder="1" applyAlignment="1">
      <alignment vertical="center"/>
    </xf>
    <xf numFmtId="0" fontId="0" fillId="4" borderId="30" xfId="0" applyFill="1" applyBorder="1" applyAlignment="1">
      <alignment vertical="center" wrapText="1"/>
    </xf>
    <xf numFmtId="3" fontId="0" fillId="2" borderId="25" xfId="0" applyNumberFormat="1" applyFill="1" applyBorder="1" applyAlignment="1">
      <alignment vertical="center"/>
    </xf>
    <xf numFmtId="0" fontId="0" fillId="4" borderId="31" xfId="0" applyFill="1" applyBorder="1" applyAlignment="1">
      <alignment vertical="center" wrapText="1"/>
    </xf>
    <xf numFmtId="0" fontId="0" fillId="2" borderId="48" xfId="0" applyFill="1" applyBorder="1"/>
    <xf numFmtId="0" fontId="0" fillId="2" borderId="50" xfId="0" applyFill="1" applyBorder="1"/>
    <xf numFmtId="0" fontId="2" fillId="2" borderId="50" xfId="0" applyFont="1" applyFill="1" applyBorder="1" applyAlignment="1">
      <alignment wrapText="1"/>
    </xf>
    <xf numFmtId="0" fontId="0" fillId="2" borderId="52" xfId="0" applyFill="1" applyBorder="1"/>
    <xf numFmtId="0" fontId="0" fillId="2" borderId="50" xfId="0" applyFill="1" applyBorder="1" applyAlignment="1">
      <alignment wrapText="1"/>
    </xf>
    <xf numFmtId="0" fontId="0" fillId="2" borderId="48" xfId="0" applyFill="1" applyBorder="1" applyAlignment="1">
      <alignment wrapText="1"/>
    </xf>
    <xf numFmtId="0" fontId="0" fillId="2" borderId="51" xfId="0" applyFill="1" applyBorder="1" applyAlignment="1">
      <alignment horizontal="left"/>
    </xf>
    <xf numFmtId="3" fontId="0" fillId="2" borderId="51" xfId="0" applyNumberFormat="1" applyFill="1" applyBorder="1" applyAlignment="1">
      <alignment horizontal="left"/>
    </xf>
    <xf numFmtId="167" fontId="0" fillId="2" borderId="51" xfId="0" applyNumberFormat="1" applyFill="1" applyBorder="1" applyAlignment="1">
      <alignment horizontal="left"/>
    </xf>
    <xf numFmtId="1" fontId="0" fillId="2" borderId="51" xfId="0" applyNumberFormat="1" applyFill="1" applyBorder="1" applyAlignment="1">
      <alignment horizontal="left"/>
    </xf>
    <xf numFmtId="0" fontId="0" fillId="2" borderId="52" xfId="0" applyFill="1" applyBorder="1" applyAlignment="1">
      <alignment wrapText="1"/>
    </xf>
    <xf numFmtId="1" fontId="0" fillId="2" borderId="53" xfId="0" applyNumberFormat="1" applyFill="1" applyBorder="1" applyAlignment="1">
      <alignment horizontal="left"/>
    </xf>
    <xf numFmtId="2" fontId="0" fillId="2" borderId="49" xfId="0" applyNumberFormat="1" applyFill="1" applyBorder="1" applyAlignment="1">
      <alignment horizontal="left"/>
    </xf>
    <xf numFmtId="2" fontId="0" fillId="2" borderId="51" xfId="0" quotePrefix="1" applyNumberFormat="1" applyFill="1" applyBorder="1" applyAlignment="1">
      <alignment horizontal="left"/>
    </xf>
    <xf numFmtId="2" fontId="0" fillId="2" borderId="51" xfId="0" applyNumberFormat="1" applyFill="1" applyBorder="1" applyAlignment="1">
      <alignment horizontal="left"/>
    </xf>
    <xf numFmtId="11" fontId="0" fillId="2" borderId="49" xfId="0" applyNumberFormat="1" applyFill="1" applyBorder="1" applyAlignment="1">
      <alignment horizontal="left"/>
    </xf>
    <xf numFmtId="0" fontId="0" fillId="2" borderId="49" xfId="0" applyFill="1" applyBorder="1" applyAlignment="1">
      <alignment horizontal="left"/>
    </xf>
    <xf numFmtId="0" fontId="0" fillId="2" borderId="0" xfId="0" applyFill="1" applyAlignment="1">
      <alignment vertical="center"/>
    </xf>
    <xf numFmtId="0" fontId="4" fillId="2" borderId="0" xfId="0" applyFont="1" applyFill="1" applyAlignment="1">
      <alignment vertical="center"/>
    </xf>
    <xf numFmtId="0" fontId="0" fillId="2" borderId="48" xfId="0" applyFill="1" applyBorder="1" applyAlignment="1">
      <alignment vertical="center" wrapText="1"/>
    </xf>
    <xf numFmtId="2" fontId="0" fillId="2" borderId="49" xfId="0" applyNumberFormat="1" applyFill="1" applyBorder="1" applyAlignment="1">
      <alignment vertical="center" wrapText="1"/>
    </xf>
    <xf numFmtId="0" fontId="2" fillId="2" borderId="50" xfId="0" applyFont="1" applyFill="1" applyBorder="1" applyAlignment="1">
      <alignment vertical="center" wrapText="1"/>
    </xf>
    <xf numFmtId="0" fontId="0" fillId="2" borderId="52" xfId="0" applyFill="1" applyBorder="1" applyAlignment="1">
      <alignment vertical="center" wrapText="1"/>
    </xf>
    <xf numFmtId="2" fontId="0" fillId="2" borderId="49" xfId="0" applyNumberFormat="1" applyFill="1" applyBorder="1" applyAlignment="1">
      <alignment vertical="center"/>
    </xf>
    <xf numFmtId="0" fontId="0" fillId="2" borderId="48" xfId="0" applyFill="1" applyBorder="1" applyAlignment="1">
      <alignment vertical="center"/>
    </xf>
    <xf numFmtId="0" fontId="0" fillId="2" borderId="50" xfId="0" applyFill="1" applyBorder="1" applyAlignment="1">
      <alignment vertical="center"/>
    </xf>
    <xf numFmtId="166" fontId="0" fillId="2" borderId="51" xfId="0" applyNumberFormat="1" applyFill="1" applyBorder="1" applyAlignment="1">
      <alignment vertical="center"/>
    </xf>
    <xf numFmtId="0" fontId="0" fillId="2" borderId="52" xfId="0" applyFill="1" applyBorder="1" applyAlignment="1">
      <alignment vertical="center"/>
    </xf>
    <xf numFmtId="0" fontId="0" fillId="2" borderId="49" xfId="0" applyFill="1" applyBorder="1" applyAlignment="1">
      <alignment vertical="center"/>
    </xf>
    <xf numFmtId="0" fontId="10" fillId="2" borderId="0" xfId="0" applyFont="1" applyFill="1" applyAlignment="1">
      <alignment vertical="center"/>
    </xf>
    <xf numFmtId="0" fontId="2" fillId="2" borderId="52" xfId="0" applyFont="1" applyFill="1" applyBorder="1" applyAlignment="1">
      <alignment wrapText="1"/>
    </xf>
    <xf numFmtId="0" fontId="11" fillId="2" borderId="0" xfId="0" applyFont="1" applyFill="1"/>
    <xf numFmtId="0" fontId="21" fillId="2" borderId="0" xfId="0" applyFont="1" applyFill="1" applyAlignment="1" applyProtection="1">
      <alignment vertical="top"/>
    </xf>
    <xf numFmtId="0" fontId="17" fillId="5" borderId="61" xfId="0" applyFont="1" applyFill="1" applyBorder="1" applyAlignment="1" applyProtection="1">
      <alignment horizontal="center" vertical="center"/>
      <protection locked="0"/>
    </xf>
    <xf numFmtId="0" fontId="17" fillId="5" borderId="62" xfId="0" applyFont="1" applyFill="1" applyBorder="1" applyAlignment="1" applyProtection="1">
      <alignment horizontal="center" vertical="center"/>
      <protection locked="0"/>
    </xf>
    <xf numFmtId="0" fontId="17" fillId="5" borderId="63" xfId="0" applyFont="1" applyFill="1" applyBorder="1" applyAlignment="1" applyProtection="1">
      <alignment horizontal="center" vertical="center"/>
      <protection locked="0"/>
    </xf>
    <xf numFmtId="0" fontId="0" fillId="2" borderId="37" xfId="0" applyFill="1" applyBorder="1" applyAlignment="1" applyProtection="1">
      <alignment vertical="center"/>
      <protection locked="0"/>
    </xf>
    <xf numFmtId="0" fontId="0" fillId="2" borderId="40" xfId="0" applyFill="1" applyBorder="1" applyAlignment="1" applyProtection="1">
      <alignment horizontal="right" vertical="center"/>
      <protection locked="0"/>
    </xf>
    <xf numFmtId="0" fontId="0" fillId="2" borderId="38" xfId="0" applyFill="1" applyBorder="1" applyAlignment="1" applyProtection="1">
      <alignment vertical="center"/>
      <protection locked="0"/>
    </xf>
    <xf numFmtId="0" fontId="0" fillId="2" borderId="45" xfId="0" applyFill="1" applyBorder="1" applyAlignment="1" applyProtection="1">
      <alignment horizontal="right" vertical="center"/>
      <protection locked="0"/>
    </xf>
    <xf numFmtId="0" fontId="0" fillId="2" borderId="41" xfId="0" applyFill="1" applyBorder="1" applyAlignment="1" applyProtection="1">
      <alignment horizontal="right" vertical="center"/>
      <protection locked="0"/>
    </xf>
    <xf numFmtId="0" fontId="0" fillId="2" borderId="42" xfId="0" applyFill="1" applyBorder="1" applyAlignment="1" applyProtection="1">
      <alignment horizontal="right" vertical="center"/>
      <protection locked="0"/>
    </xf>
    <xf numFmtId="0" fontId="0" fillId="2" borderId="46" xfId="0" applyFill="1" applyBorder="1" applyAlignment="1" applyProtection="1">
      <alignment horizontal="right" vertical="center"/>
      <protection locked="0"/>
    </xf>
    <xf numFmtId="11" fontId="0" fillId="2" borderId="42" xfId="0" applyNumberFormat="1" applyFill="1" applyBorder="1" applyAlignment="1" applyProtection="1">
      <alignment horizontal="right" vertical="center"/>
      <protection locked="0"/>
    </xf>
    <xf numFmtId="11" fontId="0" fillId="2" borderId="46" xfId="0" applyNumberFormat="1" applyFill="1" applyBorder="1" applyAlignment="1" applyProtection="1">
      <alignment horizontal="right" vertical="center"/>
      <protection locked="0"/>
    </xf>
    <xf numFmtId="2" fontId="0" fillId="2" borderId="42" xfId="0" applyNumberFormat="1" applyFill="1" applyBorder="1" applyAlignment="1" applyProtection="1">
      <alignment horizontal="right" vertical="center"/>
      <protection locked="0"/>
    </xf>
    <xf numFmtId="2" fontId="0" fillId="2" borderId="46" xfId="0" applyNumberFormat="1" applyFill="1" applyBorder="1" applyAlignment="1" applyProtection="1">
      <alignment horizontal="right" vertical="center"/>
      <protection locked="0"/>
    </xf>
    <xf numFmtId="1" fontId="0" fillId="2" borderId="42" xfId="0" applyNumberFormat="1" applyFill="1" applyBorder="1" applyAlignment="1" applyProtection="1">
      <alignment horizontal="right" vertical="center"/>
      <protection locked="0"/>
    </xf>
    <xf numFmtId="1" fontId="0" fillId="2" borderId="46" xfId="0" applyNumberFormat="1" applyFill="1" applyBorder="1" applyAlignment="1" applyProtection="1">
      <alignment horizontal="right" vertical="center"/>
      <protection locked="0"/>
    </xf>
    <xf numFmtId="0" fontId="0" fillId="2" borderId="43" xfId="0" applyFill="1" applyBorder="1" applyAlignment="1" applyProtection="1">
      <alignment horizontal="right" vertical="center"/>
      <protection locked="0"/>
    </xf>
    <xf numFmtId="0" fontId="0" fillId="2" borderId="44" xfId="0" applyFill="1" applyBorder="1" applyAlignment="1" applyProtection="1">
      <alignment horizontal="right" vertical="center"/>
      <protection locked="0"/>
    </xf>
    <xf numFmtId="0" fontId="0" fillId="2" borderId="47" xfId="0" applyFill="1" applyBorder="1" applyAlignment="1" applyProtection="1">
      <alignment horizontal="right" vertical="center"/>
      <protection locked="0"/>
    </xf>
    <xf numFmtId="170" fontId="0" fillId="2" borderId="53" xfId="0" applyNumberFormat="1" applyFill="1" applyBorder="1" applyAlignment="1">
      <alignment vertical="center"/>
    </xf>
    <xf numFmtId="166" fontId="0" fillId="2" borderId="51" xfId="0" applyNumberFormat="1" applyFill="1" applyBorder="1" applyAlignment="1">
      <alignment horizontal="left"/>
    </xf>
    <xf numFmtId="166" fontId="0" fillId="2" borderId="53" xfId="0" applyNumberFormat="1" applyFill="1" applyBorder="1" applyAlignment="1">
      <alignment horizontal="left"/>
    </xf>
    <xf numFmtId="170" fontId="0" fillId="2" borderId="51" xfId="0" applyNumberFormat="1" applyFill="1" applyBorder="1" applyAlignment="1">
      <alignment horizontal="left"/>
    </xf>
    <xf numFmtId="170" fontId="0" fillId="2" borderId="53" xfId="0" applyNumberFormat="1" applyFill="1" applyBorder="1" applyAlignment="1">
      <alignment horizontal="left"/>
    </xf>
    <xf numFmtId="1" fontId="0" fillId="2" borderId="51" xfId="0" applyNumberFormat="1" applyFill="1" applyBorder="1" applyAlignment="1">
      <alignment vertical="center"/>
    </xf>
    <xf numFmtId="3" fontId="0" fillId="2" borderId="0" xfId="0" applyNumberFormat="1" applyFill="1"/>
    <xf numFmtId="0" fontId="0" fillId="6" borderId="0" xfId="0" applyFill="1" applyProtection="1"/>
    <xf numFmtId="0" fontId="11" fillId="6" borderId="0" xfId="0" applyFont="1" applyFill="1" applyProtection="1"/>
    <xf numFmtId="0" fontId="0" fillId="2" borderId="0" xfId="0" applyFill="1" applyProtection="1"/>
    <xf numFmtId="0" fontId="11" fillId="2" borderId="0" xfId="0" applyFont="1" applyFill="1" applyProtection="1"/>
    <xf numFmtId="0" fontId="19" fillId="2" borderId="0" xfId="0" applyFont="1" applyFill="1" applyBorder="1" applyAlignment="1" applyProtection="1">
      <alignment vertical="center"/>
    </xf>
    <xf numFmtId="0" fontId="11" fillId="2" borderId="0" xfId="0" applyFont="1" applyFill="1" applyAlignment="1" applyProtection="1">
      <alignment wrapText="1"/>
    </xf>
    <xf numFmtId="0" fontId="11" fillId="2" borderId="0" xfId="0" applyFont="1" applyFill="1" applyBorder="1" applyAlignment="1" applyProtection="1">
      <alignment vertical="center" wrapText="1"/>
    </xf>
    <xf numFmtId="0" fontId="21" fillId="2" borderId="0" xfId="0" applyFont="1" applyFill="1" applyAlignment="1" applyProtection="1">
      <alignment wrapText="1"/>
    </xf>
    <xf numFmtId="0" fontId="11" fillId="8" borderId="0" xfId="0" applyFont="1" applyFill="1" applyBorder="1" applyAlignment="1" applyProtection="1">
      <alignment vertical="center" wrapText="1"/>
    </xf>
    <xf numFmtId="0" fontId="0" fillId="2" borderId="0" xfId="0" applyFill="1" applyAlignment="1" applyProtection="1">
      <alignment wrapText="1"/>
    </xf>
    <xf numFmtId="0" fontId="35" fillId="2" borderId="0" xfId="0" applyFont="1" applyFill="1" applyProtection="1"/>
    <xf numFmtId="0" fontId="17" fillId="2" borderId="80" xfId="0" applyFont="1" applyFill="1" applyBorder="1" applyAlignment="1" applyProtection="1">
      <alignment vertical="top" wrapText="1"/>
    </xf>
    <xf numFmtId="10" fontId="17" fillId="5" borderId="28" xfId="1" applyNumberFormat="1" applyFont="1" applyFill="1" applyBorder="1" applyAlignment="1" applyProtection="1">
      <alignment horizontal="center" vertical="center"/>
      <protection locked="0"/>
    </xf>
    <xf numFmtId="10" fontId="17" fillId="5" borderId="78" xfId="1" applyNumberFormat="1" applyFont="1" applyFill="1" applyBorder="1" applyAlignment="1" applyProtection="1">
      <alignment horizontal="center" vertical="center"/>
      <protection locked="0"/>
    </xf>
    <xf numFmtId="10" fontId="17" fillId="5" borderId="25" xfId="1" applyNumberFormat="1" applyFont="1" applyFill="1" applyBorder="1" applyAlignment="1" applyProtection="1">
      <alignment horizontal="center" vertical="center"/>
      <protection locked="0"/>
    </xf>
    <xf numFmtId="10" fontId="17" fillId="5" borderId="26" xfId="1" applyNumberFormat="1" applyFont="1" applyFill="1" applyBorder="1" applyAlignment="1" applyProtection="1">
      <alignment horizontal="center" vertical="center"/>
      <protection locked="0"/>
    </xf>
    <xf numFmtId="168" fontId="17" fillId="5" borderId="61" xfId="2" applyNumberFormat="1" applyFont="1" applyFill="1" applyBorder="1" applyAlignment="1" applyProtection="1">
      <alignment horizontal="center" vertical="center"/>
      <protection locked="0"/>
    </xf>
    <xf numFmtId="10" fontId="17" fillId="7" borderId="63" xfId="1" applyNumberFormat="1" applyFont="1" applyFill="1" applyBorder="1" applyAlignment="1" applyProtection="1">
      <alignment horizontal="center" vertical="center"/>
    </xf>
    <xf numFmtId="0" fontId="11" fillId="2" borderId="64" xfId="0" applyFont="1" applyFill="1" applyBorder="1" applyAlignment="1" applyProtection="1">
      <alignment horizontal="left" vertical="center" wrapText="1"/>
    </xf>
    <xf numFmtId="0" fontId="11" fillId="8" borderId="64" xfId="0" applyFont="1" applyFill="1" applyBorder="1" applyAlignment="1" applyProtection="1">
      <alignment horizontal="left" vertical="center" wrapText="1"/>
    </xf>
    <xf numFmtId="0" fontId="11" fillId="2" borderId="74" xfId="0" applyFont="1" applyFill="1" applyBorder="1" applyAlignment="1" applyProtection="1">
      <alignment horizontal="left" vertical="center" wrapText="1"/>
    </xf>
    <xf numFmtId="0" fontId="11" fillId="2" borderId="43" xfId="0" applyFont="1" applyFill="1" applyBorder="1" applyAlignment="1" applyProtection="1">
      <alignment horizontal="left" vertical="center" wrapText="1"/>
    </xf>
    <xf numFmtId="0" fontId="11" fillId="2" borderId="65" xfId="0" applyFont="1" applyFill="1" applyBorder="1" applyAlignment="1" applyProtection="1">
      <alignment horizontal="center" vertical="center" wrapText="1"/>
    </xf>
    <xf numFmtId="168" fontId="11" fillId="2" borderId="46" xfId="2" applyNumberFormat="1"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2" borderId="46" xfId="0" applyFont="1" applyFill="1" applyBorder="1" applyAlignment="1" applyProtection="1">
      <alignment horizontal="center" vertical="center" wrapText="1"/>
    </xf>
    <xf numFmtId="164" fontId="11" fillId="2" borderId="46" xfId="0" applyNumberFormat="1" applyFont="1" applyFill="1" applyBorder="1" applyAlignment="1" applyProtection="1">
      <alignment horizontal="center" vertical="center" wrapText="1"/>
    </xf>
    <xf numFmtId="169" fontId="11" fillId="2" borderId="75" xfId="0" applyNumberFormat="1" applyFont="1" applyFill="1" applyBorder="1" applyAlignment="1" applyProtection="1">
      <alignment horizontal="center" vertical="center" wrapText="1"/>
    </xf>
    <xf numFmtId="168" fontId="11" fillId="2" borderId="47" xfId="2" applyNumberFormat="1" applyFont="1" applyFill="1" applyBorder="1" applyAlignment="1" applyProtection="1">
      <alignment horizontal="center" vertical="center" wrapText="1"/>
    </xf>
    <xf numFmtId="168" fontId="11" fillId="2" borderId="65" xfId="2" applyNumberFormat="1" applyFont="1" applyFill="1" applyBorder="1" applyAlignment="1" applyProtection="1">
      <alignment horizontal="center" vertical="center" wrapText="1"/>
    </xf>
    <xf numFmtId="0" fontId="11" fillId="8" borderId="65" xfId="0" applyFont="1" applyFill="1" applyBorder="1" applyAlignment="1" applyProtection="1">
      <alignment horizontal="center" vertical="center" wrapText="1"/>
    </xf>
    <xf numFmtId="2" fontId="11" fillId="2" borderId="67" xfId="0" applyNumberFormat="1" applyFont="1" applyFill="1" applyBorder="1" applyAlignment="1" applyProtection="1">
      <alignment horizontal="center" vertical="center"/>
    </xf>
    <xf numFmtId="2" fontId="11" fillId="2" borderId="51" xfId="0" quotePrefix="1" applyNumberFormat="1" applyFont="1" applyFill="1" applyBorder="1" applyAlignment="1" applyProtection="1">
      <alignment horizontal="center" vertical="center"/>
    </xf>
    <xf numFmtId="164" fontId="11" fillId="2" borderId="51" xfId="0" applyNumberFormat="1" applyFont="1" applyFill="1" applyBorder="1" applyAlignment="1" applyProtection="1">
      <alignment horizontal="center" vertical="center"/>
    </xf>
    <xf numFmtId="169" fontId="11" fillId="2" borderId="69" xfId="0" applyNumberFormat="1" applyFont="1" applyFill="1" applyBorder="1" applyAlignment="1" applyProtection="1">
      <alignment horizontal="center" vertical="center"/>
    </xf>
    <xf numFmtId="2" fontId="11" fillId="2" borderId="71" xfId="0" applyNumberFormat="1" applyFont="1" applyFill="1" applyBorder="1" applyAlignment="1" applyProtection="1">
      <alignment horizontal="center" vertical="center"/>
    </xf>
    <xf numFmtId="2" fontId="11" fillId="2" borderId="51" xfId="0" applyNumberFormat="1" applyFont="1" applyFill="1" applyBorder="1" applyAlignment="1" applyProtection="1">
      <alignment horizontal="center" vertical="center"/>
    </xf>
    <xf numFmtId="169" fontId="11" fillId="2" borderId="73" xfId="0" applyNumberFormat="1" applyFont="1" applyFill="1" applyBorder="1" applyAlignment="1" applyProtection="1">
      <alignment horizontal="center" vertical="center"/>
    </xf>
    <xf numFmtId="11" fontId="11" fillId="2" borderId="71" xfId="0" applyNumberFormat="1" applyFont="1" applyFill="1" applyBorder="1" applyAlignment="1" applyProtection="1">
      <alignment horizontal="center" vertical="center"/>
    </xf>
    <xf numFmtId="0" fontId="11" fillId="2" borderId="51" xfId="0" applyFont="1" applyFill="1" applyBorder="1" applyAlignment="1" applyProtection="1">
      <alignment horizontal="center" vertical="center"/>
    </xf>
    <xf numFmtId="164" fontId="11" fillId="2" borderId="69" xfId="0" applyNumberFormat="1" applyFont="1" applyFill="1" applyBorder="1" applyAlignment="1" applyProtection="1">
      <alignment horizontal="center" vertical="center"/>
    </xf>
    <xf numFmtId="168" fontId="11" fillId="2" borderId="76" xfId="2" applyNumberFormat="1" applyFont="1" applyFill="1" applyBorder="1" applyAlignment="1" applyProtection="1">
      <alignment horizontal="center" vertical="center"/>
    </xf>
    <xf numFmtId="0" fontId="15" fillId="2" borderId="0" xfId="0" applyFont="1" applyFill="1" applyProtection="1"/>
    <xf numFmtId="0" fontId="17" fillId="7" borderId="62" xfId="0" applyFont="1" applyFill="1" applyBorder="1" applyAlignment="1" applyProtection="1">
      <alignment horizontal="center" vertical="center"/>
    </xf>
    <xf numFmtId="0" fontId="11" fillId="6" borderId="0" xfId="0" applyFont="1" applyFill="1" applyAlignment="1" applyProtection="1">
      <alignment horizontal="center"/>
    </xf>
    <xf numFmtId="0" fontId="17" fillId="6" borderId="0" xfId="0" applyFont="1" applyFill="1" applyProtection="1"/>
    <xf numFmtId="0" fontId="17" fillId="6" borderId="0" xfId="0" applyFont="1" applyFill="1" applyAlignment="1" applyProtection="1">
      <alignment horizontal="center"/>
    </xf>
    <xf numFmtId="0" fontId="13" fillId="6" borderId="0" xfId="0" applyFont="1" applyFill="1" applyAlignment="1" applyProtection="1">
      <alignment horizontal="center"/>
    </xf>
    <xf numFmtId="0" fontId="17" fillId="9" borderId="0" xfId="0" applyFont="1" applyFill="1" applyBorder="1" applyProtection="1"/>
    <xf numFmtId="0" fontId="14" fillId="9" borderId="0" xfId="0" applyFont="1" applyFill="1" applyBorder="1" applyAlignment="1" applyProtection="1">
      <alignment horizontal="left" vertical="top" wrapText="1"/>
    </xf>
    <xf numFmtId="0" fontId="14" fillId="9" borderId="0" xfId="0" applyFont="1" applyFill="1" applyBorder="1" applyAlignment="1" applyProtection="1">
      <alignment horizontal="left" vertical="top"/>
    </xf>
    <xf numFmtId="0" fontId="14" fillId="6" borderId="0" xfId="0" applyFont="1" applyFill="1" applyBorder="1" applyAlignment="1" applyProtection="1">
      <alignment horizontal="left" vertical="top"/>
    </xf>
    <xf numFmtId="0" fontId="11" fillId="6" borderId="0" xfId="0" applyFont="1" applyFill="1" applyAlignment="1" applyProtection="1">
      <alignment horizontal="center" vertical="center"/>
    </xf>
    <xf numFmtId="0" fontId="17" fillId="2" borderId="0" xfId="0" applyFont="1" applyFill="1" applyAlignment="1" applyProtection="1">
      <alignment horizontal="center" vertical="center"/>
    </xf>
    <xf numFmtId="0" fontId="11" fillId="2" borderId="0" xfId="0" applyFont="1" applyFill="1" applyAlignment="1" applyProtection="1">
      <alignment horizontal="center" vertical="center"/>
    </xf>
    <xf numFmtId="0" fontId="17" fillId="2" borderId="0" xfId="0" applyFont="1" applyFill="1" applyProtection="1"/>
    <xf numFmtId="0" fontId="17" fillId="2" borderId="0" xfId="0" applyFont="1" applyFill="1" applyAlignment="1" applyProtection="1">
      <alignment horizontal="center"/>
    </xf>
    <xf numFmtId="0" fontId="19" fillId="2" borderId="0" xfId="0" applyFont="1" applyFill="1" applyProtection="1"/>
    <xf numFmtId="0" fontId="17" fillId="2" borderId="60" xfId="0" applyFont="1" applyFill="1" applyBorder="1" applyAlignment="1" applyProtection="1">
      <alignment vertical="center"/>
    </xf>
    <xf numFmtId="0" fontId="17" fillId="2" borderId="54" xfId="0" applyFont="1" applyFill="1" applyBorder="1" applyAlignment="1" applyProtection="1">
      <alignment vertical="center"/>
    </xf>
    <xf numFmtId="0" fontId="17" fillId="2" borderId="55" xfId="0" applyFont="1" applyFill="1" applyBorder="1" applyAlignment="1" applyProtection="1">
      <alignment vertical="center"/>
    </xf>
    <xf numFmtId="0" fontId="17" fillId="2" borderId="0" xfId="0" applyFont="1" applyFill="1" applyAlignment="1" applyProtection="1">
      <alignment vertical="top" wrapText="1"/>
    </xf>
    <xf numFmtId="0" fontId="17" fillId="8" borderId="0" xfId="0" applyFont="1" applyFill="1" applyAlignment="1" applyProtection="1">
      <alignment vertical="top" wrapText="1"/>
    </xf>
    <xf numFmtId="0" fontId="17" fillId="6" borderId="0" xfId="0" applyFont="1" applyFill="1" applyAlignment="1" applyProtection="1">
      <alignment vertical="top" wrapText="1"/>
    </xf>
    <xf numFmtId="0" fontId="11" fillId="2" borderId="0" xfId="0" applyFont="1" applyFill="1" applyAlignment="1" applyProtection="1">
      <alignment horizontal="center"/>
    </xf>
    <xf numFmtId="0" fontId="17" fillId="2" borderId="56" xfId="0" applyFont="1" applyFill="1" applyBorder="1" applyAlignment="1" applyProtection="1">
      <alignment horizontal="left" vertical="center" wrapText="1"/>
    </xf>
    <xf numFmtId="0" fontId="21" fillId="2" borderId="0" xfId="0" applyFont="1" applyFill="1" applyAlignment="1" applyProtection="1">
      <alignment vertical="top" wrapText="1"/>
    </xf>
    <xf numFmtId="0" fontId="17" fillId="2" borderId="54" xfId="0" applyFont="1" applyFill="1" applyBorder="1" applyAlignment="1" applyProtection="1">
      <alignment horizontal="left" vertical="center" wrapText="1"/>
    </xf>
    <xf numFmtId="0" fontId="21" fillId="8" borderId="6" xfId="0" applyFont="1" applyFill="1" applyBorder="1" applyAlignment="1" applyProtection="1">
      <alignment vertical="top"/>
    </xf>
    <xf numFmtId="0" fontId="11" fillId="9" borderId="0" xfId="0" applyFont="1" applyFill="1" applyAlignment="1" applyProtection="1"/>
    <xf numFmtId="0" fontId="11" fillId="8" borderId="0" xfId="0" applyFont="1" applyFill="1" applyAlignment="1" applyProtection="1">
      <alignment horizontal="center"/>
    </xf>
    <xf numFmtId="0" fontId="17" fillId="2" borderId="55" xfId="0" applyFont="1" applyFill="1" applyBorder="1" applyAlignment="1" applyProtection="1">
      <alignment horizontal="left" vertical="center" wrapText="1"/>
    </xf>
    <xf numFmtId="0" fontId="11" fillId="9" borderId="6" xfId="0" applyFont="1" applyFill="1" applyBorder="1" applyAlignment="1" applyProtection="1"/>
    <xf numFmtId="0" fontId="11" fillId="9" borderId="0" xfId="0" applyFont="1" applyFill="1" applyAlignment="1" applyProtection="1">
      <alignment vertical="top" wrapText="1"/>
    </xf>
    <xf numFmtId="0" fontId="11" fillId="8" borderId="0" xfId="0" applyFont="1" applyFill="1" applyProtection="1"/>
    <xf numFmtId="0" fontId="17" fillId="8" borderId="0" xfId="0" applyFont="1" applyFill="1" applyProtection="1"/>
    <xf numFmtId="0" fontId="11" fillId="6" borderId="0" xfId="0" applyFont="1" applyFill="1" applyAlignment="1" applyProtection="1">
      <alignment wrapText="1"/>
    </xf>
    <xf numFmtId="0" fontId="17" fillId="2" borderId="55" xfId="0" applyFont="1" applyFill="1" applyBorder="1" applyAlignment="1" applyProtection="1">
      <alignment horizontal="left" wrapText="1"/>
    </xf>
    <xf numFmtId="0" fontId="22" fillId="2" borderId="0" xfId="0" applyFont="1" applyFill="1" applyAlignment="1" applyProtection="1">
      <alignment horizontal="left" vertical="top" wrapText="1"/>
    </xf>
    <xf numFmtId="0" fontId="11" fillId="2" borderId="0" xfId="0" applyFont="1" applyFill="1" applyAlignment="1" applyProtection="1">
      <alignment horizontal="left"/>
    </xf>
    <xf numFmtId="0" fontId="0" fillId="10" borderId="29" xfId="0" applyFill="1" applyBorder="1" applyAlignment="1">
      <alignment horizontal="center" vertical="center"/>
    </xf>
    <xf numFmtId="0" fontId="0" fillId="10" borderId="30" xfId="0" applyFill="1" applyBorder="1" applyAlignment="1">
      <alignment horizontal="center" vertical="center"/>
    </xf>
    <xf numFmtId="0" fontId="0" fillId="4" borderId="34" xfId="0" applyFill="1" applyBorder="1" applyAlignment="1">
      <alignment horizontal="center" vertical="center" wrapText="1"/>
    </xf>
    <xf numFmtId="0" fontId="0" fillId="5" borderId="27" xfId="0" applyFill="1" applyBorder="1" applyAlignment="1">
      <alignment horizontal="center" vertical="center"/>
    </xf>
    <xf numFmtId="0" fontId="20" fillId="2" borderId="0" xfId="0" applyFont="1" applyFill="1" applyAlignment="1" applyProtection="1">
      <alignment horizontal="left" vertical="center"/>
    </xf>
    <xf numFmtId="168" fontId="17" fillId="7" borderId="57" xfId="2" applyNumberFormat="1" applyFont="1" applyFill="1" applyBorder="1" applyAlignment="1" applyProtection="1">
      <alignment horizontal="center"/>
    </xf>
    <xf numFmtId="0" fontId="11" fillId="2" borderId="0" xfId="0" applyFont="1" applyFill="1" applyBorder="1" applyAlignment="1" applyProtection="1">
      <alignment horizontal="right" vertical="center" wrapText="1"/>
    </xf>
    <xf numFmtId="1" fontId="11" fillId="2" borderId="0" xfId="0" applyNumberFormat="1" applyFont="1" applyFill="1" applyBorder="1" applyAlignment="1" applyProtection="1">
      <alignment horizontal="right" vertical="center" wrapText="1"/>
    </xf>
    <xf numFmtId="0" fontId="0" fillId="2" borderId="0" xfId="0" applyFill="1" applyBorder="1" applyAlignment="1" applyProtection="1">
      <alignment wrapText="1"/>
    </xf>
    <xf numFmtId="3" fontId="0" fillId="2" borderId="17" xfId="1" applyNumberFormat="1" applyFont="1" applyFill="1" applyBorder="1" applyAlignment="1">
      <alignment horizontal="center" vertical="center"/>
    </xf>
    <xf numFmtId="3" fontId="0" fillId="2" borderId="18" xfId="1" applyNumberFormat="1" applyFont="1" applyFill="1" applyBorder="1" applyAlignment="1">
      <alignment horizontal="center" vertical="center"/>
    </xf>
    <xf numFmtId="11" fontId="0" fillId="2" borderId="51" xfId="0" applyNumberFormat="1" applyFill="1" applyBorder="1" applyAlignment="1">
      <alignment vertical="center"/>
    </xf>
    <xf numFmtId="0" fontId="0" fillId="2" borderId="82" xfId="0" applyFill="1" applyBorder="1" applyAlignment="1">
      <alignment vertical="center" wrapText="1"/>
    </xf>
    <xf numFmtId="2" fontId="0" fillId="2" borderId="83" xfId="0" applyNumberFormat="1" applyFill="1" applyBorder="1" applyAlignment="1">
      <alignment vertical="center"/>
    </xf>
    <xf numFmtId="0" fontId="0" fillId="2" borderId="39" xfId="0" applyFill="1" applyBorder="1" applyAlignment="1" applyProtection="1">
      <alignment horizontal="right" vertical="center" wrapText="1"/>
      <protection locked="0"/>
    </xf>
    <xf numFmtId="0" fontId="0" fillId="2" borderId="41" xfId="0" applyFill="1" applyBorder="1" applyAlignment="1" applyProtection="1">
      <alignment horizontal="right" vertical="center" wrapText="1"/>
      <protection locked="0"/>
    </xf>
    <xf numFmtId="1" fontId="0" fillId="0" borderId="53" xfId="0" applyNumberFormat="1" applyFill="1" applyBorder="1" applyAlignment="1">
      <alignment vertical="center"/>
    </xf>
    <xf numFmtId="0" fontId="11" fillId="2" borderId="58" xfId="0" applyFont="1" applyFill="1" applyBorder="1" applyAlignment="1" applyProtection="1">
      <alignment vertical="top" wrapText="1"/>
      <protection locked="0"/>
    </xf>
    <xf numFmtId="0" fontId="0" fillId="0" borderId="81" xfId="0" applyBorder="1" applyAlignment="1" applyProtection="1">
      <alignment vertical="top" wrapText="1"/>
      <protection locked="0"/>
    </xf>
    <xf numFmtId="0" fontId="0" fillId="0" borderId="81" xfId="0" applyBorder="1" applyAlignment="1" applyProtection="1">
      <protection locked="0"/>
    </xf>
    <xf numFmtId="0" fontId="11" fillId="2" borderId="58" xfId="0" applyFont="1" applyFill="1" applyBorder="1" applyAlignment="1" applyProtection="1">
      <alignment wrapText="1"/>
      <protection locked="0"/>
    </xf>
    <xf numFmtId="0" fontId="0" fillId="0" borderId="81" xfId="0" applyBorder="1" applyAlignment="1" applyProtection="1">
      <alignment wrapText="1"/>
      <protection locked="0"/>
    </xf>
    <xf numFmtId="0" fontId="11" fillId="2" borderId="7" xfId="0" applyFont="1" applyFill="1" applyBorder="1" applyAlignment="1" applyProtection="1">
      <alignment vertical="top"/>
      <protection locked="0"/>
    </xf>
    <xf numFmtId="0" fontId="11" fillId="2" borderId="8" xfId="0" applyFont="1" applyFill="1" applyBorder="1" applyAlignment="1" applyProtection="1">
      <alignment vertical="top"/>
      <protection locked="0"/>
    </xf>
    <xf numFmtId="0" fontId="11" fillId="2" borderId="9" xfId="0" applyFont="1" applyFill="1" applyBorder="1" applyAlignment="1" applyProtection="1">
      <alignment vertical="top"/>
      <protection locked="0"/>
    </xf>
    <xf numFmtId="0" fontId="11" fillId="2" borderId="6" xfId="0" applyFont="1" applyFill="1" applyBorder="1" applyAlignment="1" applyProtection="1">
      <alignment vertical="top"/>
      <protection locked="0"/>
    </xf>
    <xf numFmtId="0" fontId="11" fillId="2" borderId="0" xfId="0" applyFont="1" applyFill="1" applyBorder="1" applyAlignment="1" applyProtection="1">
      <alignment vertical="top"/>
      <protection locked="0"/>
    </xf>
    <xf numFmtId="0" fontId="11" fillId="2" borderId="10" xfId="0" applyFont="1" applyFill="1" applyBorder="1" applyAlignment="1" applyProtection="1">
      <alignment vertical="top"/>
      <protection locked="0"/>
    </xf>
    <xf numFmtId="0" fontId="11" fillId="2" borderId="11" xfId="0" applyFont="1" applyFill="1" applyBorder="1" applyAlignment="1" applyProtection="1">
      <alignment vertical="top"/>
      <protection locked="0"/>
    </xf>
    <xf numFmtId="0" fontId="11" fillId="2" borderId="12" xfId="0" applyFont="1" applyFill="1" applyBorder="1" applyAlignment="1" applyProtection="1">
      <alignment vertical="top"/>
      <protection locked="0"/>
    </xf>
    <xf numFmtId="0" fontId="11" fillId="2" borderId="13" xfId="0" applyFont="1" applyFill="1" applyBorder="1" applyAlignment="1" applyProtection="1">
      <alignment vertical="top"/>
      <protection locked="0"/>
    </xf>
    <xf numFmtId="0" fontId="0" fillId="2" borderId="12" xfId="0" applyFill="1" applyBorder="1" applyProtection="1"/>
    <xf numFmtId="0" fontId="0" fillId="2" borderId="81" xfId="0" applyFill="1" applyBorder="1" applyProtection="1"/>
    <xf numFmtId="0" fontId="0" fillId="2" borderId="59" xfId="0" applyFill="1" applyBorder="1" applyProtection="1"/>
    <xf numFmtId="0" fontId="25" fillId="2" borderId="0" xfId="0" applyFont="1" applyFill="1" applyBorder="1" applyAlignment="1" applyProtection="1">
      <alignment vertical="center"/>
    </xf>
    <xf numFmtId="1" fontId="17" fillId="5" borderId="61" xfId="2" applyNumberFormat="1" applyFont="1" applyFill="1" applyBorder="1" applyAlignment="1" applyProtection="1">
      <alignment horizontal="center" vertical="center"/>
      <protection locked="0"/>
    </xf>
    <xf numFmtId="1" fontId="17" fillId="5" borderId="62" xfId="2" applyNumberFormat="1" applyFont="1" applyFill="1" applyBorder="1" applyAlignment="1" applyProtection="1">
      <alignment horizontal="center" vertical="center"/>
      <protection locked="0"/>
    </xf>
    <xf numFmtId="1" fontId="17" fillId="5" borderId="77" xfId="2" applyNumberFormat="1" applyFont="1" applyFill="1" applyBorder="1" applyAlignment="1" applyProtection="1">
      <alignment horizontal="center" vertical="center"/>
      <protection locked="0"/>
    </xf>
    <xf numFmtId="1" fontId="17" fillId="5" borderId="63" xfId="2" applyNumberFormat="1" applyFont="1" applyFill="1" applyBorder="1" applyAlignment="1" applyProtection="1">
      <alignment horizontal="center" vertical="center"/>
      <protection locked="0"/>
    </xf>
    <xf numFmtId="0" fontId="11" fillId="2" borderId="52" xfId="0" applyFont="1" applyFill="1" applyBorder="1" applyAlignment="1" applyProtection="1">
      <alignment horizontal="right" vertical="center" wrapText="1"/>
    </xf>
    <xf numFmtId="0" fontId="11" fillId="2" borderId="66" xfId="0" applyFont="1" applyFill="1" applyBorder="1" applyAlignment="1" applyProtection="1">
      <alignment horizontal="right" vertical="center"/>
    </xf>
    <xf numFmtId="0" fontId="11" fillId="2" borderId="50" xfId="0" applyFont="1" applyFill="1" applyBorder="1" applyAlignment="1" applyProtection="1">
      <alignment horizontal="right" vertical="center"/>
    </xf>
    <xf numFmtId="0" fontId="11" fillId="2" borderId="50" xfId="0" applyFont="1" applyFill="1" applyBorder="1" applyAlignment="1" applyProtection="1">
      <alignment horizontal="right" vertical="center" wrapText="1"/>
    </xf>
    <xf numFmtId="0" fontId="11" fillId="2" borderId="68" xfId="0" applyFont="1" applyFill="1" applyBorder="1" applyAlignment="1" applyProtection="1">
      <alignment horizontal="right" vertical="center"/>
    </xf>
    <xf numFmtId="0" fontId="11" fillId="2" borderId="70" xfId="0" applyFont="1" applyFill="1" applyBorder="1" applyAlignment="1" applyProtection="1">
      <alignment horizontal="right" vertical="center"/>
    </xf>
    <xf numFmtId="0" fontId="11" fillId="2" borderId="72" xfId="0" applyFont="1" applyFill="1" applyBorder="1" applyAlignment="1" applyProtection="1">
      <alignment horizontal="right" vertical="center"/>
    </xf>
    <xf numFmtId="0" fontId="11" fillId="2" borderId="68" xfId="0" applyFont="1" applyFill="1" applyBorder="1" applyAlignment="1" applyProtection="1">
      <alignment horizontal="right" vertical="center" wrapText="1"/>
    </xf>
    <xf numFmtId="0" fontId="17" fillId="9" borderId="0" xfId="0" applyFont="1" applyFill="1" applyBorder="1" applyAlignment="1" applyProtection="1"/>
    <xf numFmtId="0" fontId="17" fillId="6" borderId="0" xfId="0" applyFont="1" applyFill="1" applyBorder="1" applyAlignment="1" applyProtection="1"/>
    <xf numFmtId="0" fontId="11" fillId="9" borderId="0" xfId="0" applyNumberFormat="1" applyFont="1" applyFill="1" applyBorder="1" applyAlignment="1" applyProtection="1"/>
    <xf numFmtId="0" fontId="11" fillId="6" borderId="0" xfId="0" applyNumberFormat="1" applyFont="1" applyFill="1" applyBorder="1" applyAlignment="1" applyProtection="1"/>
    <xf numFmtId="0" fontId="17" fillId="11" borderId="57" xfId="0" applyFont="1" applyFill="1" applyBorder="1" applyAlignment="1" applyProtection="1">
      <alignment horizontal="center" vertical="center" wrapText="1"/>
    </xf>
    <xf numFmtId="0" fontId="0" fillId="2" borderId="85" xfId="0" applyFill="1" applyBorder="1" applyAlignment="1" applyProtection="1">
      <alignment horizontal="right" vertical="center" wrapText="1"/>
      <protection locked="0"/>
    </xf>
    <xf numFmtId="0" fontId="0" fillId="2" borderId="86" xfId="0" applyFill="1" applyBorder="1" applyAlignment="1" applyProtection="1">
      <alignment horizontal="right" vertical="center" wrapText="1"/>
      <protection locked="0"/>
    </xf>
    <xf numFmtId="0" fontId="0" fillId="2" borderId="86" xfId="0" applyFill="1" applyBorder="1" applyAlignment="1" applyProtection="1">
      <alignment horizontal="right" vertical="center"/>
      <protection locked="0"/>
    </xf>
    <xf numFmtId="0" fontId="0" fillId="2" borderId="87" xfId="0" applyFill="1" applyBorder="1" applyAlignment="1" applyProtection="1">
      <alignment horizontal="right" vertical="center"/>
      <protection locked="0"/>
    </xf>
    <xf numFmtId="0" fontId="0" fillId="2" borderId="88" xfId="0" applyFill="1" applyBorder="1" applyAlignment="1" applyProtection="1">
      <alignment vertical="center"/>
      <protection locked="0"/>
    </xf>
    <xf numFmtId="11" fontId="0" fillId="2" borderId="51" xfId="0" applyNumberFormat="1" applyFill="1" applyBorder="1" applyAlignment="1">
      <alignment horizontal="left"/>
    </xf>
    <xf numFmtId="0" fontId="12" fillId="2" borderId="79" xfId="0" applyFont="1" applyFill="1" applyBorder="1" applyAlignment="1" applyProtection="1">
      <alignment horizontal="center" vertical="center" wrapText="1"/>
    </xf>
    <xf numFmtId="0" fontId="26" fillId="2" borderId="0" xfId="0" applyFont="1" applyFill="1" applyAlignment="1" applyProtection="1">
      <alignment horizontal="center" vertical="center"/>
    </xf>
    <xf numFmtId="0" fontId="45" fillId="10" borderId="58" xfId="0" applyFont="1" applyFill="1" applyBorder="1" applyAlignment="1" applyProtection="1">
      <alignment horizontal="center" vertical="center"/>
    </xf>
    <xf numFmtId="0" fontId="13" fillId="10" borderId="59" xfId="0" applyFont="1" applyFill="1" applyBorder="1" applyAlignment="1" applyProtection="1"/>
    <xf numFmtId="0" fontId="17" fillId="5" borderId="7" xfId="0" applyFont="1" applyFill="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3" xfId="0" applyFont="1" applyBorder="1" applyAlignment="1" applyProtection="1">
      <alignment horizontal="left" vertical="top" wrapText="1"/>
      <protection locked="0"/>
    </xf>
    <xf numFmtId="0" fontId="18" fillId="10" borderId="58" xfId="0" applyFont="1" applyFill="1" applyBorder="1" applyAlignment="1" applyProtection="1">
      <alignment horizontal="center" vertical="center" wrapText="1"/>
    </xf>
    <xf numFmtId="0" fontId="18" fillId="10" borderId="59" xfId="0" applyFont="1" applyFill="1" applyBorder="1" applyAlignment="1" applyProtection="1">
      <alignment horizontal="center" vertical="center" wrapText="1"/>
    </xf>
    <xf numFmtId="0" fontId="37" fillId="2" borderId="7" xfId="0" applyNumberFormat="1" applyFont="1" applyFill="1" applyBorder="1" applyAlignment="1" applyProtection="1">
      <alignment horizontal="left" vertical="top" wrapText="1"/>
    </xf>
    <xf numFmtId="0" fontId="17" fillId="2" borderId="9" xfId="0" applyNumberFormat="1" applyFont="1" applyFill="1" applyBorder="1" applyAlignment="1" applyProtection="1">
      <alignment horizontal="left" vertical="top" wrapText="1"/>
    </xf>
    <xf numFmtId="0" fontId="17" fillId="2" borderId="6" xfId="0" applyNumberFormat="1" applyFont="1" applyFill="1" applyBorder="1" applyAlignment="1" applyProtection="1">
      <alignment horizontal="left" vertical="top" wrapText="1"/>
    </xf>
    <xf numFmtId="0" fontId="17" fillId="2" borderId="10" xfId="0" applyNumberFormat="1" applyFont="1" applyFill="1" applyBorder="1" applyAlignment="1" applyProtection="1">
      <alignment horizontal="left" vertical="top" wrapText="1"/>
    </xf>
    <xf numFmtId="0" fontId="17" fillId="2" borderId="11" xfId="0" applyNumberFormat="1" applyFont="1" applyFill="1" applyBorder="1" applyAlignment="1" applyProtection="1">
      <alignment horizontal="left" vertical="top" wrapText="1"/>
    </xf>
    <xf numFmtId="0" fontId="17" fillId="2" borderId="13" xfId="0" applyNumberFormat="1" applyFont="1" applyFill="1" applyBorder="1" applyAlignment="1" applyProtection="1">
      <alignment horizontal="left" vertical="top" wrapText="1"/>
    </xf>
    <xf numFmtId="0" fontId="22" fillId="2" borderId="0" xfId="0" applyFont="1" applyFill="1" applyBorder="1" applyAlignment="1" applyProtection="1">
      <alignment horizontal="left" vertical="top" wrapText="1"/>
    </xf>
    <xf numFmtId="0" fontId="17" fillId="10" borderId="59" xfId="0" applyFont="1" applyFill="1" applyBorder="1" applyAlignment="1" applyProtection="1">
      <alignment horizontal="center" vertical="center" wrapText="1"/>
    </xf>
    <xf numFmtId="0" fontId="25" fillId="2" borderId="0" xfId="0" applyFont="1" applyFill="1" applyAlignment="1" applyProtection="1">
      <alignment horizontal="center" vertical="center" wrapText="1"/>
    </xf>
    <xf numFmtId="0" fontId="25" fillId="0" borderId="0" xfId="0" applyFont="1" applyAlignment="1" applyProtection="1">
      <alignment vertical="center"/>
    </xf>
    <xf numFmtId="0" fontId="18" fillId="10" borderId="58" xfId="0" applyFont="1" applyFill="1" applyBorder="1" applyAlignment="1" applyProtection="1">
      <alignment horizontal="center" vertical="center"/>
    </xf>
    <xf numFmtId="0" fontId="18" fillId="10" borderId="59" xfId="0" applyFont="1" applyFill="1" applyBorder="1" applyAlignment="1" applyProtection="1">
      <alignment horizontal="center" vertical="center"/>
    </xf>
    <xf numFmtId="0" fontId="20" fillId="2" borderId="0" xfId="0" applyFont="1" applyFill="1" applyBorder="1" applyAlignment="1" applyProtection="1">
      <alignment horizontal="left" vertical="top" wrapText="1"/>
    </xf>
    <xf numFmtId="0" fontId="25" fillId="2" borderId="0" xfId="0" applyFont="1" applyFill="1" applyAlignment="1" applyProtection="1">
      <alignment horizontal="center" vertical="center"/>
    </xf>
    <xf numFmtId="0" fontId="25" fillId="0" borderId="0" xfId="0" applyFont="1" applyAlignment="1" applyProtection="1">
      <alignment horizontal="center" vertical="center"/>
    </xf>
    <xf numFmtId="0" fontId="25" fillId="2" borderId="0" xfId="0" applyFont="1" applyFill="1" applyAlignment="1" applyProtection="1">
      <alignment horizontal="center"/>
    </xf>
    <xf numFmtId="0" fontId="0" fillId="4" borderId="15" xfId="0"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4" borderId="84"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21" fillId="2" borderId="0" xfId="0" applyFont="1" applyFill="1" applyAlignment="1" applyProtection="1">
      <alignment horizontal="left" wrapText="1"/>
    </xf>
    <xf numFmtId="0" fontId="30" fillId="2" borderId="7" xfId="0" applyFont="1" applyFill="1" applyBorder="1" applyAlignment="1" applyProtection="1">
      <alignment horizontal="left" vertical="top" wrapText="1"/>
    </xf>
    <xf numFmtId="0" fontId="30" fillId="2" borderId="9" xfId="0" applyFont="1" applyFill="1" applyBorder="1" applyAlignment="1" applyProtection="1">
      <alignment horizontal="left" vertical="top" wrapText="1"/>
    </xf>
    <xf numFmtId="0" fontId="30" fillId="2" borderId="6" xfId="0" applyFont="1" applyFill="1" applyBorder="1" applyAlignment="1" applyProtection="1">
      <alignment horizontal="left" vertical="top" wrapText="1"/>
    </xf>
    <xf numFmtId="0" fontId="30" fillId="2" borderId="10" xfId="0" applyFont="1" applyFill="1" applyBorder="1" applyAlignment="1" applyProtection="1">
      <alignment horizontal="left" vertical="top" wrapText="1"/>
    </xf>
    <xf numFmtId="0" fontId="30" fillId="2" borderId="11" xfId="0" applyFont="1" applyFill="1" applyBorder="1" applyAlignment="1" applyProtection="1">
      <alignment horizontal="left" vertical="top" wrapText="1"/>
    </xf>
    <xf numFmtId="0" fontId="30" fillId="2" borderId="13" xfId="0" applyFont="1" applyFill="1" applyBorder="1" applyAlignment="1" applyProtection="1">
      <alignment horizontal="left" vertical="top" wrapText="1"/>
    </xf>
    <xf numFmtId="0" fontId="31" fillId="3" borderId="58" xfId="0" applyFont="1" applyFill="1" applyBorder="1" applyAlignment="1" applyProtection="1">
      <alignment horizontal="center" vertical="center"/>
    </xf>
    <xf numFmtId="0" fontId="31" fillId="3" borderId="81" xfId="0" applyFont="1" applyFill="1" applyBorder="1" applyAlignment="1" applyProtection="1">
      <alignment horizontal="center" vertical="center"/>
    </xf>
    <xf numFmtId="0" fontId="31" fillId="3" borderId="59" xfId="0" applyFont="1" applyFill="1" applyBorder="1" applyAlignment="1" applyProtection="1">
      <alignment horizontal="center" vertical="center"/>
    </xf>
    <xf numFmtId="0" fontId="28" fillId="8" borderId="0" xfId="0" applyFont="1" applyFill="1" applyAlignment="1" applyProtection="1">
      <alignment horizontal="center" vertical="center"/>
    </xf>
    <xf numFmtId="0" fontId="31" fillId="3" borderId="7" xfId="0" applyFont="1" applyFill="1" applyBorder="1" applyAlignment="1" applyProtection="1">
      <alignment horizontal="center"/>
    </xf>
    <xf numFmtId="0" fontId="31" fillId="3" borderId="9" xfId="0" applyFont="1" applyFill="1" applyBorder="1" applyAlignment="1" applyProtection="1">
      <alignment horizontal="center"/>
    </xf>
    <xf numFmtId="0" fontId="43" fillId="3" borderId="11" xfId="0" applyFont="1" applyFill="1" applyBorder="1" applyAlignment="1" applyProtection="1">
      <alignment horizontal="center"/>
    </xf>
    <xf numFmtId="0" fontId="43" fillId="3" borderId="13" xfId="0" applyFont="1" applyFill="1" applyBorder="1" applyAlignment="1" applyProtection="1">
      <alignment horizontal="center"/>
    </xf>
    <xf numFmtId="0" fontId="36" fillId="4" borderId="58" xfId="0" applyFont="1" applyFill="1" applyBorder="1" applyAlignment="1" applyProtection="1">
      <alignment horizontal="center" vertical="center" wrapText="1"/>
    </xf>
    <xf numFmtId="0" fontId="36" fillId="4" borderId="59" xfId="0" applyFont="1" applyFill="1" applyBorder="1" applyAlignment="1" applyProtection="1">
      <alignment horizontal="center" vertical="center" wrapText="1"/>
    </xf>
    <xf numFmtId="0" fontId="29" fillId="2" borderId="7" xfId="0" applyFont="1" applyFill="1" applyBorder="1" applyAlignment="1" applyProtection="1">
      <alignment horizontal="center" vertical="center" wrapText="1"/>
    </xf>
    <xf numFmtId="0" fontId="29" fillId="2" borderId="8"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29" fillId="2" borderId="10" xfId="0" applyFont="1" applyFill="1" applyBorder="1" applyAlignment="1" applyProtection="1">
      <alignment horizontal="center" vertical="center" wrapText="1"/>
    </xf>
    <xf numFmtId="0" fontId="29" fillId="2" borderId="11" xfId="0" applyFont="1" applyFill="1" applyBorder="1" applyAlignment="1" applyProtection="1">
      <alignment horizontal="center" vertical="center" wrapText="1"/>
    </xf>
    <xf numFmtId="0" fontId="29" fillId="2" borderId="12" xfId="0" applyFont="1" applyFill="1" applyBorder="1" applyAlignment="1" applyProtection="1">
      <alignment horizontal="center" vertical="center" wrapText="1"/>
    </xf>
    <xf numFmtId="0" fontId="29" fillId="2" borderId="13" xfId="0" applyFont="1" applyFill="1" applyBorder="1" applyAlignment="1" applyProtection="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4" xfId="0" applyFont="1" applyFill="1" applyBorder="1" applyAlignment="1">
      <alignment horizontal="center" vertical="center"/>
    </xf>
  </cellXfs>
  <cellStyles count="3">
    <cellStyle name="Comma" xfId="2" builtinId="3"/>
    <cellStyle name="Normal" xfId="0" builtinId="0"/>
    <cellStyle name="Percent" xfId="1" builtinId="5"/>
  </cellStyles>
  <dxfs count="2">
    <dxf>
      <font>
        <color rgb="FFFF0000"/>
      </font>
    </dxf>
    <dxf>
      <font>
        <color rgb="FFFF0000"/>
      </font>
    </dxf>
  </dxfs>
  <tableStyles count="0" defaultTableStyle="TableStyleMedium9" defaultPivotStyle="PivotStyleLight16"/>
  <colors>
    <mruColors>
      <color rgb="FF00B7EB"/>
      <color rgb="FF33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38100</xdr:rowOff>
    </xdr:from>
    <xdr:to>
      <xdr:col>1</xdr:col>
      <xdr:colOff>962406</xdr:colOff>
      <xdr:row>1</xdr:row>
      <xdr:rowOff>964692</xdr:rowOff>
    </xdr:to>
    <xdr:pic>
      <xdr:nvPicPr>
        <xdr:cNvPr id="4" name="Picture 3" descr="ES Cert Mark Cyan.jpg"/>
        <xdr:cNvPicPr>
          <a:picLocks noChangeAspect="1"/>
        </xdr:cNvPicPr>
      </xdr:nvPicPr>
      <xdr:blipFill>
        <a:blip xmlns:r="http://schemas.openxmlformats.org/officeDocument/2006/relationships" r:embed="rId1" cstate="print"/>
        <a:stretch>
          <a:fillRect/>
        </a:stretch>
      </xdr:blipFill>
      <xdr:spPr>
        <a:xfrm>
          <a:off x="57150" y="228600"/>
          <a:ext cx="905256" cy="9265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47626</xdr:colOff>
      <xdr:row>1</xdr:row>
      <xdr:rowOff>31751</xdr:rowOff>
    </xdr:from>
    <xdr:to>
      <xdr:col>2</xdr:col>
      <xdr:colOff>704273</xdr:colOff>
      <xdr:row>4</xdr:row>
      <xdr:rowOff>303543</xdr:rowOff>
    </xdr:to>
    <xdr:pic>
      <xdr:nvPicPr>
        <xdr:cNvPr id="4" name="Picture 3" descr="ES Cert Mark Cyan.jpg"/>
        <xdr:cNvPicPr>
          <a:picLocks noChangeAspect="1"/>
        </xdr:cNvPicPr>
      </xdr:nvPicPr>
      <xdr:blipFill>
        <a:blip xmlns:r="http://schemas.openxmlformats.org/officeDocument/2006/relationships" r:embed="rId1" cstate="print"/>
        <a:stretch>
          <a:fillRect/>
        </a:stretch>
      </xdr:blipFill>
      <xdr:spPr>
        <a:xfrm>
          <a:off x="174626" y="158751"/>
          <a:ext cx="767772" cy="795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145676</xdr:colOff>
      <xdr:row>1</xdr:row>
      <xdr:rowOff>44822</xdr:rowOff>
    </xdr:from>
    <xdr:to>
      <xdr:col>2</xdr:col>
      <xdr:colOff>604398</xdr:colOff>
      <xdr:row>4</xdr:row>
      <xdr:rowOff>134519</xdr:rowOff>
    </xdr:to>
    <xdr:pic>
      <xdr:nvPicPr>
        <xdr:cNvPr id="3" name="Picture 2" descr="ES Cert Mark Cyan.jpg"/>
        <xdr:cNvPicPr>
          <a:picLocks noChangeAspect="1"/>
        </xdr:cNvPicPr>
      </xdr:nvPicPr>
      <xdr:blipFill>
        <a:blip xmlns:r="http://schemas.openxmlformats.org/officeDocument/2006/relationships" r:embed="rId1" cstate="print"/>
        <a:stretch>
          <a:fillRect/>
        </a:stretch>
      </xdr:blipFill>
      <xdr:spPr>
        <a:xfrm>
          <a:off x="257735" y="179293"/>
          <a:ext cx="638016" cy="6611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3"/>
  <sheetViews>
    <sheetView showGridLines="0" showRowColHeaders="0" tabSelected="1" workbookViewId="0">
      <selection activeCell="B3" sqref="B3"/>
    </sheetView>
  </sheetViews>
  <sheetFormatPr defaultRowHeight="14.25" x14ac:dyDescent="0.2"/>
  <cols>
    <col min="1" max="1" width="2.5703125" style="71" customWidth="1"/>
    <col min="2" max="2" width="92.85546875" style="71" customWidth="1"/>
    <col min="3" max="16384" width="9.140625" style="71"/>
  </cols>
  <sheetData>
    <row r="1" spans="1:7" ht="9" customHeight="1" thickBot="1" x14ac:dyDescent="0.25">
      <c r="A1" s="102"/>
      <c r="B1" s="102"/>
      <c r="C1" s="102"/>
      <c r="D1" s="102"/>
      <c r="E1" s="102"/>
      <c r="F1" s="102"/>
      <c r="G1" s="102"/>
    </row>
    <row r="2" spans="1:7" ht="89.25" customHeight="1" thickTop="1" x14ac:dyDescent="0.2">
      <c r="A2" s="102"/>
      <c r="B2" s="237" t="s">
        <v>104</v>
      </c>
      <c r="C2" s="102"/>
      <c r="D2" s="102"/>
      <c r="E2" s="102"/>
      <c r="F2" s="102"/>
      <c r="G2" s="102"/>
    </row>
    <row r="3" spans="1:7" ht="219" thickBot="1" x14ac:dyDescent="0.25">
      <c r="A3" s="102"/>
      <c r="B3" s="110" t="s">
        <v>103</v>
      </c>
      <c r="C3" s="102"/>
      <c r="D3" s="102"/>
      <c r="E3" s="102"/>
      <c r="F3" s="102"/>
      <c r="G3" s="102"/>
    </row>
    <row r="4" spans="1:7" ht="15" thickTop="1" x14ac:dyDescent="0.2">
      <c r="A4" s="102"/>
      <c r="B4" s="109"/>
      <c r="C4" s="102"/>
      <c r="D4" s="102"/>
      <c r="E4" s="102"/>
      <c r="F4" s="102"/>
      <c r="G4" s="102"/>
    </row>
    <row r="5" spans="1:7" x14ac:dyDescent="0.2">
      <c r="A5" s="102"/>
      <c r="B5" s="102"/>
      <c r="C5" s="102"/>
      <c r="D5" s="102"/>
      <c r="E5" s="102"/>
      <c r="F5" s="102"/>
      <c r="G5" s="102"/>
    </row>
    <row r="6" spans="1:7" x14ac:dyDescent="0.2">
      <c r="A6" s="102"/>
      <c r="B6" s="102"/>
      <c r="C6" s="102"/>
      <c r="D6" s="102"/>
      <c r="E6" s="102"/>
      <c r="F6" s="102"/>
      <c r="G6" s="102"/>
    </row>
    <row r="7" spans="1:7" x14ac:dyDescent="0.2">
      <c r="A7" s="102"/>
      <c r="B7" s="102"/>
      <c r="C7" s="102"/>
      <c r="D7" s="102"/>
      <c r="E7" s="102"/>
      <c r="F7" s="102"/>
      <c r="G7" s="102"/>
    </row>
    <row r="8" spans="1:7" x14ac:dyDescent="0.2">
      <c r="A8" s="102"/>
      <c r="B8" s="102"/>
      <c r="C8" s="102"/>
      <c r="D8" s="102"/>
      <c r="E8" s="102"/>
      <c r="F8" s="102"/>
      <c r="G8" s="102"/>
    </row>
    <row r="9" spans="1:7" x14ac:dyDescent="0.2">
      <c r="A9" s="102"/>
      <c r="B9" s="102"/>
      <c r="C9" s="102"/>
      <c r="D9" s="102"/>
      <c r="E9" s="102"/>
      <c r="F9" s="102"/>
      <c r="G9" s="102"/>
    </row>
    <row r="10" spans="1:7" x14ac:dyDescent="0.2">
      <c r="A10" s="102"/>
      <c r="B10" s="102"/>
      <c r="C10" s="102"/>
      <c r="D10" s="102"/>
      <c r="E10" s="102"/>
      <c r="F10" s="102"/>
      <c r="G10" s="102"/>
    </row>
    <row r="11" spans="1:7" x14ac:dyDescent="0.2">
      <c r="A11" s="102"/>
      <c r="B11" s="102"/>
      <c r="C11" s="102"/>
      <c r="D11" s="102"/>
      <c r="E11" s="102"/>
      <c r="F11" s="102"/>
      <c r="G11" s="102"/>
    </row>
    <row r="12" spans="1:7" x14ac:dyDescent="0.2">
      <c r="A12" s="102"/>
      <c r="B12" s="102"/>
      <c r="C12" s="102"/>
      <c r="D12" s="102"/>
      <c r="E12" s="102"/>
      <c r="F12" s="102"/>
      <c r="G12" s="102"/>
    </row>
    <row r="13" spans="1:7" x14ac:dyDescent="0.2">
      <c r="A13" s="102"/>
      <c r="B13" s="102"/>
      <c r="C13" s="102"/>
      <c r="D13" s="102"/>
      <c r="E13" s="102"/>
      <c r="F13" s="102"/>
      <c r="G13" s="102"/>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9"/>
  <sheetViews>
    <sheetView showGridLines="0" showRowColHeaders="0" zoomScale="55" zoomScaleNormal="55" workbookViewId="0">
      <selection activeCell="H9" sqref="H9:I12"/>
    </sheetView>
  </sheetViews>
  <sheetFormatPr defaultRowHeight="14.25" x14ac:dyDescent="0.2"/>
  <cols>
    <col min="1" max="1" width="1.85546875" style="102" customWidth="1"/>
    <col min="2" max="2" width="1.5703125" style="102" customWidth="1"/>
    <col min="3" max="3" width="16.5703125" style="102" customWidth="1"/>
    <col min="4" max="4" width="54.85546875" style="102" customWidth="1"/>
    <col min="5" max="6" width="1.85546875" style="102" customWidth="1"/>
    <col min="7" max="7" width="2.5703125" style="102" customWidth="1"/>
    <col min="8" max="8" width="46.85546875" style="102" customWidth="1"/>
    <col min="9" max="9" width="19.140625" style="102" bestFit="1" customWidth="1"/>
    <col min="10" max="10" width="2.28515625" style="102" customWidth="1"/>
    <col min="11" max="11" width="13.5703125" style="163" customWidth="1"/>
    <col min="12" max="12" width="27.28515625" style="163" customWidth="1"/>
    <col min="13" max="13" width="1.28515625" style="163" customWidth="1"/>
    <col min="14" max="14" width="13.28515625" style="163" customWidth="1"/>
    <col min="15" max="15" width="26.140625" style="163" customWidth="1"/>
    <col min="16" max="16" width="1.28515625" style="163" customWidth="1"/>
    <col min="17" max="17" width="1.85546875" style="163" customWidth="1"/>
    <col min="18" max="16384" width="9.140625" style="102"/>
  </cols>
  <sheetData>
    <row r="1" spans="1:30" ht="9.75" customHeight="1" x14ac:dyDescent="0.25">
      <c r="A1" s="100"/>
      <c r="B1" s="100"/>
      <c r="C1" s="100"/>
      <c r="D1" s="100"/>
      <c r="E1" s="100"/>
      <c r="F1" s="100"/>
      <c r="G1" s="100"/>
      <c r="H1" s="100"/>
      <c r="I1" s="100"/>
      <c r="J1" s="100"/>
      <c r="K1" s="143"/>
      <c r="L1" s="143"/>
      <c r="M1" s="143"/>
      <c r="N1" s="143"/>
      <c r="O1" s="143"/>
      <c r="P1" s="145"/>
      <c r="Q1" s="100"/>
    </row>
    <row r="2" spans="1:30" ht="14.25" customHeight="1" x14ac:dyDescent="0.2">
      <c r="A2" s="100"/>
      <c r="B2" s="238" t="s">
        <v>92</v>
      </c>
      <c r="C2" s="238"/>
      <c r="D2" s="238"/>
      <c r="E2" s="238"/>
      <c r="F2" s="238"/>
      <c r="G2" s="238"/>
      <c r="H2" s="238"/>
      <c r="I2" s="238"/>
      <c r="J2" s="238"/>
      <c r="K2" s="238"/>
      <c r="L2" s="238"/>
      <c r="M2" s="238"/>
      <c r="N2" s="238"/>
      <c r="O2" s="238"/>
      <c r="P2" s="238"/>
      <c r="Q2" s="100"/>
    </row>
    <row r="3" spans="1:30" ht="14.25" customHeight="1" x14ac:dyDescent="0.2">
      <c r="A3" s="100"/>
      <c r="B3" s="238"/>
      <c r="C3" s="238"/>
      <c r="D3" s="238"/>
      <c r="E3" s="238"/>
      <c r="F3" s="238"/>
      <c r="G3" s="238"/>
      <c r="H3" s="238"/>
      <c r="I3" s="238"/>
      <c r="J3" s="238"/>
      <c r="K3" s="238"/>
      <c r="L3" s="238"/>
      <c r="M3" s="238"/>
      <c r="N3" s="238"/>
      <c r="O3" s="238"/>
      <c r="P3" s="238"/>
      <c r="Q3" s="100"/>
    </row>
    <row r="4" spans="1:30" ht="14.25" customHeight="1" x14ac:dyDescent="0.2">
      <c r="A4" s="100"/>
      <c r="B4" s="238"/>
      <c r="C4" s="238"/>
      <c r="D4" s="238"/>
      <c r="E4" s="238"/>
      <c r="F4" s="238"/>
      <c r="G4" s="238"/>
      <c r="H4" s="238"/>
      <c r="I4" s="238"/>
      <c r="J4" s="238"/>
      <c r="K4" s="238"/>
      <c r="L4" s="238"/>
      <c r="M4" s="238"/>
      <c r="N4" s="238"/>
      <c r="O4" s="238"/>
      <c r="P4" s="238"/>
      <c r="Q4" s="100"/>
    </row>
    <row r="5" spans="1:30" ht="24.75" customHeight="1" x14ac:dyDescent="0.2">
      <c r="A5" s="100"/>
      <c r="B5" s="238"/>
      <c r="C5" s="238"/>
      <c r="D5" s="238"/>
      <c r="E5" s="238"/>
      <c r="F5" s="238"/>
      <c r="G5" s="238"/>
      <c r="H5" s="238"/>
      <c r="I5" s="238"/>
      <c r="J5" s="238"/>
      <c r="K5" s="238"/>
      <c r="L5" s="238"/>
      <c r="M5" s="238"/>
      <c r="N5" s="238"/>
      <c r="O5" s="238"/>
      <c r="P5" s="238"/>
      <c r="Q5" s="100"/>
    </row>
    <row r="6" spans="1:30" ht="9" customHeight="1" x14ac:dyDescent="0.25">
      <c r="A6" s="100"/>
      <c r="B6" s="144"/>
      <c r="C6" s="144"/>
      <c r="D6" s="144"/>
      <c r="E6" s="144"/>
      <c r="F6" s="144"/>
      <c r="G6" s="144"/>
      <c r="H6" s="144"/>
      <c r="I6" s="144"/>
      <c r="J6" s="144"/>
      <c r="K6" s="145"/>
      <c r="L6" s="145"/>
      <c r="M6" s="145"/>
      <c r="N6" s="146"/>
      <c r="O6" s="145"/>
      <c r="P6" s="145"/>
      <c r="Q6" s="100"/>
    </row>
    <row r="7" spans="1:30" ht="27" customHeight="1" thickBot="1" x14ac:dyDescent="0.45">
      <c r="A7" s="100"/>
      <c r="B7" s="147"/>
      <c r="C7" s="148"/>
      <c r="D7" s="149"/>
      <c r="E7" s="149"/>
      <c r="F7" s="150"/>
      <c r="G7" s="213"/>
      <c r="H7" s="264" t="s">
        <v>91</v>
      </c>
      <c r="I7" s="264"/>
      <c r="J7" s="264"/>
      <c r="K7" s="264"/>
      <c r="L7" s="264"/>
      <c r="M7" s="264"/>
      <c r="N7" s="264"/>
      <c r="O7" s="264"/>
      <c r="P7" s="102"/>
      <c r="Q7" s="100"/>
    </row>
    <row r="8" spans="1:30" s="153" customFormat="1" ht="39" customHeight="1" thickBot="1" x14ac:dyDescent="0.3">
      <c r="A8" s="151"/>
      <c r="B8" s="152"/>
      <c r="C8" s="239" t="s">
        <v>46</v>
      </c>
      <c r="D8" s="240"/>
      <c r="E8" s="226"/>
      <c r="F8" s="227"/>
      <c r="G8" s="152"/>
      <c r="H8" s="247" t="s">
        <v>98</v>
      </c>
      <c r="I8" s="256"/>
      <c r="J8" s="152"/>
      <c r="K8" s="247" t="str">
        <f>IF(I21="","Tested Case Temperature 1",CONCATENATE("Test Data for ",I21,"⁰C Ambient Temperature"))</f>
        <v>Tested Case Temperature 1</v>
      </c>
      <c r="L8" s="248"/>
      <c r="M8" s="152"/>
      <c r="N8" s="247" t="str">
        <f>IF(I22="","Tested Case Temperature 2",CONCATENATE("Test Data for ",I22,"⁰C Ambient Temperature"))</f>
        <v>Tested Case Temperature 2</v>
      </c>
      <c r="O8" s="248"/>
      <c r="P8" s="102"/>
      <c r="Q8" s="100"/>
    </row>
    <row r="9" spans="1:30" ht="48" customHeight="1" thickBot="1" x14ac:dyDescent="0.3">
      <c r="A9" s="100"/>
      <c r="B9" s="154"/>
      <c r="C9" s="249" t="s">
        <v>102</v>
      </c>
      <c r="D9" s="250"/>
      <c r="E9" s="228"/>
      <c r="F9" s="229"/>
      <c r="G9" s="154"/>
      <c r="H9" s="241"/>
      <c r="I9" s="242"/>
      <c r="J9" s="154"/>
      <c r="K9" s="230" t="s">
        <v>70</v>
      </c>
      <c r="L9" s="230" t="s">
        <v>45</v>
      </c>
      <c r="M9" s="155"/>
      <c r="N9" s="230" t="s">
        <v>70</v>
      </c>
      <c r="O9" s="230" t="s">
        <v>45</v>
      </c>
      <c r="P9" s="102"/>
      <c r="Q9" s="100"/>
      <c r="AD9" s="156"/>
    </row>
    <row r="10" spans="1:30" ht="15" customHeight="1" x14ac:dyDescent="0.25">
      <c r="A10" s="100"/>
      <c r="B10" s="154"/>
      <c r="C10" s="251"/>
      <c r="D10" s="252"/>
      <c r="E10" s="228"/>
      <c r="F10" s="229"/>
      <c r="G10" s="154"/>
      <c r="H10" s="243"/>
      <c r="I10" s="244"/>
      <c r="J10" s="154"/>
      <c r="K10" s="214">
        <v>0</v>
      </c>
      <c r="L10" s="111"/>
      <c r="M10" s="152"/>
      <c r="N10" s="214">
        <v>0</v>
      </c>
      <c r="O10" s="111"/>
      <c r="P10" s="102"/>
      <c r="Q10" s="100"/>
      <c r="AD10" s="156"/>
    </row>
    <row r="11" spans="1:30" ht="18" customHeight="1" x14ac:dyDescent="0.25">
      <c r="A11" s="100"/>
      <c r="B11" s="154"/>
      <c r="C11" s="251"/>
      <c r="D11" s="252"/>
      <c r="E11" s="228"/>
      <c r="F11" s="229"/>
      <c r="G11" s="154"/>
      <c r="H11" s="243"/>
      <c r="I11" s="244"/>
      <c r="J11" s="154"/>
      <c r="K11" s="215">
        <v>1000</v>
      </c>
      <c r="L11" s="112"/>
      <c r="M11" s="152"/>
      <c r="N11" s="215">
        <v>1000</v>
      </c>
      <c r="O11" s="112"/>
      <c r="P11" s="102"/>
      <c r="Q11" s="100"/>
      <c r="AD11" s="156"/>
    </row>
    <row r="12" spans="1:30" ht="18.75" customHeight="1" thickBot="1" x14ac:dyDescent="0.3">
      <c r="A12" s="100"/>
      <c r="B12" s="154"/>
      <c r="C12" s="251"/>
      <c r="D12" s="252"/>
      <c r="E12" s="228"/>
      <c r="F12" s="229"/>
      <c r="G12" s="154"/>
      <c r="H12" s="245"/>
      <c r="I12" s="246"/>
      <c r="J12" s="154"/>
      <c r="K12" s="215">
        <v>2000</v>
      </c>
      <c r="L12" s="112"/>
      <c r="M12" s="152"/>
      <c r="N12" s="215">
        <v>2000</v>
      </c>
      <c r="O12" s="112"/>
      <c r="P12" s="102"/>
      <c r="Q12" s="100"/>
      <c r="AD12" s="156"/>
    </row>
    <row r="13" spans="1:30" ht="18" customHeight="1" x14ac:dyDescent="0.25">
      <c r="A13" s="100"/>
      <c r="B13" s="154"/>
      <c r="C13" s="251"/>
      <c r="D13" s="252"/>
      <c r="E13" s="228"/>
      <c r="F13" s="229"/>
      <c r="G13" s="154"/>
      <c r="H13" s="154"/>
      <c r="I13" s="154"/>
      <c r="J13" s="154"/>
      <c r="K13" s="215">
        <v>3000</v>
      </c>
      <c r="L13" s="112"/>
      <c r="M13" s="152"/>
      <c r="N13" s="215">
        <v>3000</v>
      </c>
      <c r="O13" s="112"/>
      <c r="P13" s="102"/>
      <c r="Q13" s="100"/>
      <c r="AD13" s="156"/>
    </row>
    <row r="14" spans="1:30" ht="18.75" customHeight="1" thickBot="1" x14ac:dyDescent="0.3">
      <c r="A14" s="100"/>
      <c r="B14" s="154"/>
      <c r="C14" s="251"/>
      <c r="D14" s="252"/>
      <c r="E14" s="228"/>
      <c r="F14" s="229"/>
      <c r="G14" s="154"/>
      <c r="H14" s="154"/>
      <c r="I14" s="154"/>
      <c r="J14" s="154"/>
      <c r="K14" s="215">
        <v>4000</v>
      </c>
      <c r="L14" s="112"/>
      <c r="M14" s="152"/>
      <c r="N14" s="215">
        <v>4000</v>
      </c>
      <c r="O14" s="112"/>
      <c r="P14" s="102"/>
      <c r="Q14" s="100"/>
      <c r="AD14" s="156"/>
    </row>
    <row r="15" spans="1:30" ht="18.75" customHeight="1" thickBot="1" x14ac:dyDescent="0.3">
      <c r="A15" s="100"/>
      <c r="B15" s="154"/>
      <c r="C15" s="251"/>
      <c r="D15" s="252"/>
      <c r="E15" s="228"/>
      <c r="F15" s="229"/>
      <c r="G15" s="154"/>
      <c r="H15" s="259" t="s">
        <v>97</v>
      </c>
      <c r="I15" s="260"/>
      <c r="J15" s="154"/>
      <c r="K15" s="215">
        <v>5000</v>
      </c>
      <c r="L15" s="112"/>
      <c r="M15" s="152"/>
      <c r="N15" s="215">
        <v>5000</v>
      </c>
      <c r="O15" s="112"/>
      <c r="P15" s="102"/>
      <c r="Q15" s="100"/>
      <c r="AD15" s="156"/>
    </row>
    <row r="16" spans="1:30" ht="19.5" customHeight="1" x14ac:dyDescent="0.25">
      <c r="A16" s="100"/>
      <c r="B16" s="154"/>
      <c r="C16" s="251"/>
      <c r="D16" s="252"/>
      <c r="E16" s="228"/>
      <c r="F16" s="229"/>
      <c r="G16" s="154"/>
      <c r="H16" s="157" t="s">
        <v>100</v>
      </c>
      <c r="I16" s="73"/>
      <c r="J16" s="154"/>
      <c r="K16" s="215">
        <v>6000</v>
      </c>
      <c r="L16" s="112"/>
      <c r="M16" s="152"/>
      <c r="N16" s="215">
        <v>6000</v>
      </c>
      <c r="O16" s="112"/>
      <c r="P16" s="102"/>
      <c r="Q16" s="100"/>
      <c r="AD16" s="156"/>
    </row>
    <row r="17" spans="1:30" ht="19.5" customHeight="1" x14ac:dyDescent="0.25">
      <c r="A17" s="100"/>
      <c r="B17" s="154"/>
      <c r="C17" s="251"/>
      <c r="D17" s="252"/>
      <c r="E17" s="228"/>
      <c r="F17" s="229"/>
      <c r="G17" s="154"/>
      <c r="H17" s="158" t="s">
        <v>44</v>
      </c>
      <c r="I17" s="74"/>
      <c r="J17" s="154"/>
      <c r="K17" s="215">
        <v>7000</v>
      </c>
      <c r="L17" s="112"/>
      <c r="M17" s="152"/>
      <c r="N17" s="215">
        <v>7000</v>
      </c>
      <c r="O17" s="112"/>
      <c r="P17" s="102"/>
      <c r="Q17" s="100"/>
      <c r="AD17" s="156"/>
    </row>
    <row r="18" spans="1:30" ht="19.5" customHeight="1" x14ac:dyDescent="0.25">
      <c r="A18" s="100"/>
      <c r="B18" s="154"/>
      <c r="C18" s="251"/>
      <c r="D18" s="252"/>
      <c r="E18" s="228"/>
      <c r="F18" s="229"/>
      <c r="G18" s="154"/>
      <c r="H18" s="158" t="s">
        <v>72</v>
      </c>
      <c r="I18" s="142" t="str">
        <f>IF(I16="","",I16-I17)</f>
        <v/>
      </c>
      <c r="J18" s="154"/>
      <c r="K18" s="215">
        <v>8000</v>
      </c>
      <c r="L18" s="112"/>
      <c r="M18" s="152"/>
      <c r="N18" s="215">
        <v>8000</v>
      </c>
      <c r="O18" s="112"/>
      <c r="P18" s="102"/>
      <c r="Q18" s="100"/>
      <c r="AD18" s="156"/>
    </row>
    <row r="19" spans="1:30" ht="19.5" customHeight="1" x14ac:dyDescent="0.25">
      <c r="A19" s="100"/>
      <c r="B19" s="154"/>
      <c r="C19" s="251"/>
      <c r="D19" s="252"/>
      <c r="E19" s="228"/>
      <c r="F19" s="229"/>
      <c r="G19" s="154"/>
      <c r="H19" s="158" t="s">
        <v>71</v>
      </c>
      <c r="I19" s="74"/>
      <c r="J19" s="154"/>
      <c r="K19" s="215">
        <v>9000</v>
      </c>
      <c r="L19" s="112"/>
      <c r="M19" s="152"/>
      <c r="N19" s="215">
        <v>9000</v>
      </c>
      <c r="O19" s="112"/>
      <c r="P19" s="102"/>
      <c r="Q19" s="100"/>
      <c r="AD19" s="156"/>
    </row>
    <row r="20" spans="1:30" ht="19.5" customHeight="1" x14ac:dyDescent="0.25">
      <c r="A20" s="100"/>
      <c r="B20" s="154"/>
      <c r="C20" s="251"/>
      <c r="D20" s="252"/>
      <c r="E20" s="228"/>
      <c r="F20" s="229"/>
      <c r="G20" s="154"/>
      <c r="H20" s="158" t="s">
        <v>85</v>
      </c>
      <c r="I20" s="74"/>
      <c r="J20" s="154"/>
      <c r="K20" s="215">
        <v>10000</v>
      </c>
      <c r="L20" s="112"/>
      <c r="M20" s="152"/>
      <c r="N20" s="215">
        <v>10000</v>
      </c>
      <c r="O20" s="112"/>
      <c r="P20" s="102"/>
      <c r="Q20" s="100"/>
      <c r="AD20" s="156"/>
    </row>
    <row r="21" spans="1:30" ht="19.5" customHeight="1" x14ac:dyDescent="0.25">
      <c r="A21" s="100"/>
      <c r="B21" s="154"/>
      <c r="C21" s="251"/>
      <c r="D21" s="252"/>
      <c r="E21" s="228"/>
      <c r="F21" s="229"/>
      <c r="G21" s="154"/>
      <c r="H21" s="158" t="s">
        <v>87</v>
      </c>
      <c r="I21" s="74"/>
      <c r="J21" s="154"/>
      <c r="K21" s="215"/>
      <c r="L21" s="112"/>
      <c r="M21" s="152"/>
      <c r="N21" s="215"/>
      <c r="O21" s="112"/>
      <c r="P21" s="102"/>
      <c r="Q21" s="100"/>
      <c r="AD21" s="156"/>
    </row>
    <row r="22" spans="1:30" ht="19.5" customHeight="1" x14ac:dyDescent="0.25">
      <c r="A22" s="100"/>
      <c r="B22" s="154"/>
      <c r="C22" s="251"/>
      <c r="D22" s="252"/>
      <c r="E22" s="228"/>
      <c r="F22" s="229"/>
      <c r="G22" s="154"/>
      <c r="H22" s="158" t="s">
        <v>88</v>
      </c>
      <c r="I22" s="74"/>
      <c r="J22" s="154"/>
      <c r="K22" s="216"/>
      <c r="L22" s="111"/>
      <c r="M22" s="152"/>
      <c r="N22" s="215"/>
      <c r="O22" s="113"/>
      <c r="P22" s="102"/>
      <c r="Q22" s="100"/>
      <c r="AD22" s="156"/>
    </row>
    <row r="23" spans="1:30" ht="21" customHeight="1" x14ac:dyDescent="0.25">
      <c r="A23" s="100"/>
      <c r="B23" s="154"/>
      <c r="C23" s="251"/>
      <c r="D23" s="252"/>
      <c r="E23" s="228"/>
      <c r="F23" s="229"/>
      <c r="G23" s="154"/>
      <c r="H23" s="158" t="s">
        <v>89</v>
      </c>
      <c r="I23" s="74"/>
      <c r="J23" s="154"/>
      <c r="K23" s="215"/>
      <c r="L23" s="113"/>
      <c r="M23" s="152"/>
      <c r="N23" s="215"/>
      <c r="O23" s="113"/>
      <c r="P23" s="102"/>
      <c r="Q23" s="100"/>
    </row>
    <row r="24" spans="1:30" ht="21" customHeight="1" x14ac:dyDescent="0.25">
      <c r="A24" s="100"/>
      <c r="B24" s="154"/>
      <c r="C24" s="251"/>
      <c r="D24" s="252"/>
      <c r="E24" s="228"/>
      <c r="F24" s="229"/>
      <c r="G24" s="154"/>
      <c r="H24" s="158" t="s">
        <v>90</v>
      </c>
      <c r="I24" s="74"/>
      <c r="J24" s="154"/>
      <c r="K24" s="215"/>
      <c r="L24" s="113"/>
      <c r="M24" s="152"/>
      <c r="N24" s="215"/>
      <c r="O24" s="113"/>
      <c r="P24" s="102"/>
      <c r="Q24" s="100"/>
    </row>
    <row r="25" spans="1:30" ht="21" customHeight="1" x14ac:dyDescent="0.25">
      <c r="A25" s="100"/>
      <c r="B25" s="154"/>
      <c r="C25" s="251"/>
      <c r="D25" s="252"/>
      <c r="E25" s="228"/>
      <c r="F25" s="229"/>
      <c r="G25" s="154"/>
      <c r="H25" s="158" t="s">
        <v>86</v>
      </c>
      <c r="I25" s="74"/>
      <c r="J25" s="154"/>
      <c r="K25" s="215"/>
      <c r="L25" s="113"/>
      <c r="M25" s="152"/>
      <c r="N25" s="215"/>
      <c r="O25" s="113"/>
      <c r="P25" s="102"/>
      <c r="Q25" s="100"/>
    </row>
    <row r="26" spans="1:30" ht="21" customHeight="1" thickBot="1" x14ac:dyDescent="0.3">
      <c r="A26" s="100"/>
      <c r="B26" s="154"/>
      <c r="C26" s="251"/>
      <c r="D26" s="252"/>
      <c r="E26" s="228"/>
      <c r="F26" s="229"/>
      <c r="G26" s="154"/>
      <c r="H26" s="159" t="s">
        <v>101</v>
      </c>
      <c r="I26" s="75"/>
      <c r="J26" s="154"/>
      <c r="K26" s="215"/>
      <c r="L26" s="113"/>
      <c r="M26" s="152"/>
      <c r="N26" s="215"/>
      <c r="O26" s="113"/>
      <c r="P26" s="102"/>
      <c r="Q26" s="100"/>
    </row>
    <row r="27" spans="1:30" ht="21" customHeight="1" x14ac:dyDescent="0.25">
      <c r="A27" s="100"/>
      <c r="B27" s="154"/>
      <c r="C27" s="251"/>
      <c r="D27" s="252"/>
      <c r="E27" s="228"/>
      <c r="F27" s="229"/>
      <c r="G27" s="154"/>
      <c r="J27" s="154"/>
      <c r="K27" s="215"/>
      <c r="L27" s="113"/>
      <c r="M27" s="152"/>
      <c r="N27" s="215"/>
      <c r="O27" s="113"/>
      <c r="P27" s="102"/>
      <c r="Q27" s="100"/>
    </row>
    <row r="28" spans="1:30" ht="20.25" customHeight="1" x14ac:dyDescent="0.25">
      <c r="A28" s="100"/>
      <c r="B28" s="154"/>
      <c r="C28" s="251"/>
      <c r="D28" s="252"/>
      <c r="E28" s="228"/>
      <c r="F28" s="229"/>
      <c r="G28" s="154"/>
      <c r="H28" s="261" t="str">
        <f>IF(AND(I22&lt;&gt;"",I21=""),"Please enter value for 'Tested Ambient Temperature 1'","")</f>
        <v/>
      </c>
      <c r="I28" s="261"/>
      <c r="J28" s="154"/>
      <c r="K28" s="215"/>
      <c r="L28" s="113"/>
      <c r="M28" s="152"/>
      <c r="N28" s="215"/>
      <c r="O28" s="113"/>
      <c r="P28" s="102"/>
      <c r="Q28" s="100"/>
    </row>
    <row r="29" spans="1:30" ht="18" customHeight="1" x14ac:dyDescent="0.25">
      <c r="A29" s="100"/>
      <c r="B29" s="154"/>
      <c r="C29" s="251"/>
      <c r="D29" s="252"/>
      <c r="E29" s="228"/>
      <c r="F29" s="229"/>
      <c r="G29" s="154"/>
      <c r="H29" s="261"/>
      <c r="I29" s="261"/>
      <c r="J29" s="154"/>
      <c r="K29" s="215"/>
      <c r="L29" s="113"/>
      <c r="M29" s="152"/>
      <c r="N29" s="215"/>
      <c r="O29" s="113"/>
      <c r="P29" s="102"/>
      <c r="Q29" s="100"/>
    </row>
    <row r="30" spans="1:30" ht="18.75" customHeight="1" x14ac:dyDescent="0.25">
      <c r="A30" s="100"/>
      <c r="B30" s="154"/>
      <c r="C30" s="251"/>
      <c r="D30" s="252"/>
      <c r="E30" s="228"/>
      <c r="F30" s="229"/>
      <c r="G30" s="154"/>
      <c r="H30" s="261"/>
      <c r="I30" s="261"/>
      <c r="J30" s="154"/>
      <c r="K30" s="215"/>
      <c r="L30" s="113"/>
      <c r="M30" s="152"/>
      <c r="N30" s="215"/>
      <c r="O30" s="113"/>
      <c r="P30" s="102"/>
      <c r="Q30" s="100"/>
    </row>
    <row r="31" spans="1:30" ht="21" customHeight="1" x14ac:dyDescent="0.25">
      <c r="A31" s="100"/>
      <c r="B31" s="154"/>
      <c r="C31" s="251"/>
      <c r="D31" s="252"/>
      <c r="E31" s="228"/>
      <c r="F31" s="229"/>
      <c r="G31" s="154"/>
      <c r="J31" s="154"/>
      <c r="K31" s="215"/>
      <c r="L31" s="113"/>
      <c r="M31" s="152"/>
      <c r="N31" s="215"/>
      <c r="O31" s="113"/>
      <c r="P31" s="102"/>
      <c r="Q31" s="100"/>
    </row>
    <row r="32" spans="1:30" ht="18.75" customHeight="1" x14ac:dyDescent="0.25">
      <c r="A32" s="100"/>
      <c r="B32" s="154"/>
      <c r="C32" s="251"/>
      <c r="D32" s="252"/>
      <c r="E32" s="228"/>
      <c r="F32" s="229"/>
      <c r="G32" s="154"/>
      <c r="J32" s="160"/>
      <c r="K32" s="215"/>
      <c r="L32" s="113"/>
      <c r="M32" s="152"/>
      <c r="N32" s="215"/>
      <c r="O32" s="113"/>
      <c r="P32" s="102"/>
      <c r="Q32" s="100"/>
    </row>
    <row r="33" spans="1:17" ht="19.5" customHeight="1" thickBot="1" x14ac:dyDescent="0.25">
      <c r="A33" s="100"/>
      <c r="B33" s="160"/>
      <c r="C33" s="251"/>
      <c r="D33" s="252"/>
      <c r="E33" s="161"/>
      <c r="F33" s="162"/>
      <c r="G33" s="160"/>
      <c r="J33" s="160"/>
      <c r="K33" s="217"/>
      <c r="L33" s="114"/>
      <c r="M33" s="152"/>
      <c r="N33" s="217"/>
      <c r="O33" s="114"/>
      <c r="P33" s="102"/>
      <c r="Q33" s="100"/>
    </row>
    <row r="34" spans="1:17" ht="23.25" customHeight="1" x14ac:dyDescent="0.25">
      <c r="A34" s="100"/>
      <c r="B34" s="160"/>
      <c r="C34" s="251"/>
      <c r="D34" s="252"/>
      <c r="E34" s="160"/>
      <c r="F34" s="162"/>
      <c r="G34" s="160"/>
      <c r="J34" s="160"/>
      <c r="K34" s="183" t="str">
        <f>IF(OR('Calculations - Ambient Temp 1'!C26="FAIL",'Calculations - Ambient Temp 2'!C26="FAIL"),"Data measurement points must be equally dispersed in time. Please see TM-21 Addendum A for details.","")</f>
        <v/>
      </c>
      <c r="L34" s="155"/>
      <c r="M34" s="155"/>
      <c r="N34" s="155"/>
      <c r="O34" s="155"/>
      <c r="P34" s="102"/>
      <c r="Q34" s="100"/>
    </row>
    <row r="35" spans="1:17" ht="10.5" customHeight="1" x14ac:dyDescent="0.25">
      <c r="A35" s="100"/>
      <c r="B35" s="161"/>
      <c r="C35" s="251"/>
      <c r="D35" s="252"/>
      <c r="E35" s="161"/>
      <c r="F35" s="162"/>
      <c r="G35" s="162"/>
      <c r="H35" s="100"/>
      <c r="I35" s="100"/>
      <c r="J35" s="162"/>
      <c r="K35" s="145"/>
      <c r="L35" s="145"/>
      <c r="M35" s="145"/>
      <c r="N35" s="145"/>
      <c r="O35" s="145"/>
      <c r="P35" s="145"/>
      <c r="Q35" s="100"/>
    </row>
    <row r="36" spans="1:17" ht="27" customHeight="1" thickBot="1" x14ac:dyDescent="0.3">
      <c r="A36" s="100"/>
      <c r="B36" s="161"/>
      <c r="C36" s="251"/>
      <c r="D36" s="252"/>
      <c r="E36" s="161"/>
      <c r="F36" s="162"/>
      <c r="G36" s="160"/>
      <c r="H36" s="262" t="s">
        <v>77</v>
      </c>
      <c r="I36" s="263"/>
      <c r="K36" s="155"/>
      <c r="N36" s="155"/>
      <c r="O36" s="155"/>
      <c r="Q36" s="145"/>
    </row>
    <row r="37" spans="1:17" ht="37.5" customHeight="1" x14ac:dyDescent="0.25">
      <c r="A37" s="100"/>
      <c r="B37" s="161"/>
      <c r="C37" s="251"/>
      <c r="D37" s="252"/>
      <c r="E37" s="161"/>
      <c r="F37" s="162"/>
      <c r="H37" s="164" t="s">
        <v>79</v>
      </c>
      <c r="I37" s="73"/>
      <c r="J37" s="72" t="str">
        <f>IF(I37&gt;I20,"The drive current of the chip in the luminaire must be less than or equal to the chip as tested under LM-80.","")</f>
        <v/>
      </c>
      <c r="K37" s="165"/>
      <c r="L37" s="165"/>
      <c r="N37" s="155"/>
      <c r="O37" s="155"/>
      <c r="Q37" s="100"/>
    </row>
    <row r="38" spans="1:17" ht="23.25" customHeight="1" x14ac:dyDescent="0.25">
      <c r="A38" s="100"/>
      <c r="B38" s="161"/>
      <c r="C38" s="251"/>
      <c r="D38" s="252"/>
      <c r="E38" s="161"/>
      <c r="F38" s="162"/>
      <c r="H38" s="166" t="s">
        <v>80</v>
      </c>
      <c r="I38" s="74"/>
      <c r="J38" s="167" t="str">
        <f>IF('TM-28 Inputs'!I38&gt;MAX('TM-28 Inputs'!I23:I24),"In situ case temperature must be less than or equal to Tested case temperature 2.","")</f>
        <v/>
      </c>
      <c r="K38" s="168"/>
      <c r="L38" s="168"/>
      <c r="M38" s="169"/>
      <c r="N38" s="155"/>
      <c r="O38" s="155"/>
      <c r="Q38" s="100"/>
    </row>
    <row r="39" spans="1:17" ht="40.5" customHeight="1" thickBot="1" x14ac:dyDescent="0.3">
      <c r="A39" s="100"/>
      <c r="B39" s="161"/>
      <c r="C39" s="251"/>
      <c r="D39" s="252"/>
      <c r="E39" s="161"/>
      <c r="F39" s="162"/>
      <c r="H39" s="170" t="s">
        <v>81</v>
      </c>
      <c r="I39" s="75"/>
      <c r="J39" s="171"/>
      <c r="K39" s="168"/>
      <c r="L39" s="168"/>
      <c r="M39" s="169"/>
      <c r="N39" s="155"/>
      <c r="O39" s="155"/>
      <c r="Q39" s="100"/>
    </row>
    <row r="40" spans="1:17" ht="11.25" customHeight="1" x14ac:dyDescent="0.25">
      <c r="A40" s="100"/>
      <c r="B40" s="161"/>
      <c r="C40" s="251"/>
      <c r="D40" s="252"/>
      <c r="E40" s="161"/>
      <c r="F40" s="162"/>
      <c r="H40" s="104"/>
      <c r="J40" s="172"/>
      <c r="K40" s="172"/>
      <c r="L40" s="173"/>
      <c r="M40" s="169"/>
      <c r="N40" s="155"/>
      <c r="O40" s="155"/>
      <c r="Q40" s="100"/>
    </row>
    <row r="41" spans="1:17" ht="11.25" customHeight="1" x14ac:dyDescent="0.25">
      <c r="A41" s="100"/>
      <c r="B41" s="174"/>
      <c r="C41" s="251"/>
      <c r="D41" s="252"/>
      <c r="E41" s="174"/>
      <c r="F41" s="162"/>
      <c r="G41" s="144"/>
      <c r="H41" s="175"/>
      <c r="I41" s="100"/>
      <c r="J41" s="144"/>
      <c r="K41" s="145"/>
      <c r="L41" s="145"/>
      <c r="M41" s="145"/>
      <c r="N41" s="145"/>
      <c r="O41" s="145"/>
      <c r="P41" s="145"/>
      <c r="Q41" s="145"/>
    </row>
    <row r="42" spans="1:17" ht="27" customHeight="1" thickBot="1" x14ac:dyDescent="0.3">
      <c r="A42" s="100"/>
      <c r="B42" s="174"/>
      <c r="C42" s="251"/>
      <c r="D42" s="252"/>
      <c r="E42" s="174"/>
      <c r="F42" s="162"/>
      <c r="H42" s="257" t="s">
        <v>9</v>
      </c>
      <c r="I42" s="258"/>
      <c r="K42" s="155"/>
      <c r="L42" s="155"/>
      <c r="N42" s="155"/>
      <c r="O42" s="155"/>
      <c r="Q42" s="145"/>
    </row>
    <row r="43" spans="1:17" ht="33.75" customHeight="1" x14ac:dyDescent="0.2">
      <c r="A43" s="100"/>
      <c r="C43" s="251"/>
      <c r="D43" s="252"/>
      <c r="F43" s="162"/>
      <c r="H43" s="164" t="s">
        <v>78</v>
      </c>
      <c r="I43" s="115"/>
      <c r="J43" s="141"/>
      <c r="Q43" s="143"/>
    </row>
    <row r="44" spans="1:17" ht="18.75" thickBot="1" x14ac:dyDescent="0.25">
      <c r="A44" s="100"/>
      <c r="C44" s="251"/>
      <c r="D44" s="252"/>
      <c r="F44" s="162"/>
      <c r="H44" s="170" t="s">
        <v>43</v>
      </c>
      <c r="I44" s="116" t="str">
        <f>IFERROR(IF(K34="",IF(I43="","",IF('TM-28 Inputs'!I38="","",'Product Inputs'!C15*EXP(-I43*'Product Inputs'!C17))),""),"")</f>
        <v/>
      </c>
      <c r="J44" s="255" t="str">
        <f>IFERROR(IF(OR('TM-28 Report'!J13&lt;0,'TM-28 Report'!J17&lt;0),"One or more of the tests resulted in negative L70 values. Please refer to sections 5.1.5 of IES TM-28-14 for instructions on how to estimate the reported lumen maintenance life (L70).",IF(I18="","",IF('Product Inputs'!C19="error","Number of samples measured must be ≥3. Please enter the correct number of samples in above",""))),"")</f>
        <v/>
      </c>
      <c r="K44" s="255"/>
      <c r="L44" s="255"/>
      <c r="M44" s="255"/>
      <c r="N44" s="255"/>
      <c r="O44" s="255"/>
      <c r="Q44" s="143"/>
    </row>
    <row r="45" spans="1:17" ht="18.75" customHeight="1" thickBot="1" x14ac:dyDescent="0.3">
      <c r="A45" s="100"/>
      <c r="C45" s="251"/>
      <c r="D45" s="252"/>
      <c r="F45" s="162"/>
      <c r="H45" s="176" t="str">
        <f>IF(I39="","Reported LM (hours):",CONCATENATE("Reported L",'TM-28 Inputs'!I39," (hours):"))</f>
        <v>Reported LM (hours):</v>
      </c>
      <c r="I45" s="184" t="str">
        <f>IFERROR(IF(K34="",IF('Product Inputs'!C19="error","",'Product Inputs'!C19),""),"")</f>
        <v>&gt;0</v>
      </c>
      <c r="J45" s="255"/>
      <c r="K45" s="255"/>
      <c r="L45" s="255"/>
      <c r="M45" s="255"/>
      <c r="N45" s="255"/>
      <c r="O45" s="255"/>
      <c r="Q45" s="143"/>
    </row>
    <row r="46" spans="1:17" ht="18.75" thickBot="1" x14ac:dyDescent="0.25">
      <c r="A46" s="100"/>
      <c r="C46" s="253"/>
      <c r="D46" s="254"/>
      <c r="F46" s="162"/>
      <c r="J46" s="255"/>
      <c r="K46" s="255"/>
      <c r="L46" s="255"/>
      <c r="M46" s="255"/>
      <c r="N46" s="255"/>
      <c r="O46" s="255"/>
      <c r="Q46" s="143"/>
    </row>
    <row r="47" spans="1:17" ht="11.25" customHeight="1" x14ac:dyDescent="0.2">
      <c r="A47" s="100"/>
      <c r="F47" s="162"/>
      <c r="J47" s="177"/>
      <c r="K47" s="177"/>
      <c r="L47" s="178"/>
      <c r="M47" s="178"/>
      <c r="N47" s="178"/>
      <c r="O47" s="178"/>
      <c r="Q47" s="143"/>
    </row>
    <row r="48" spans="1:17" ht="11.25" customHeight="1" x14ac:dyDescent="0.25">
      <c r="A48" s="100"/>
      <c r="B48" s="100"/>
      <c r="C48" s="100"/>
      <c r="D48" s="100"/>
      <c r="E48" s="100"/>
      <c r="F48" s="100"/>
      <c r="G48" s="100"/>
      <c r="H48" s="100"/>
      <c r="I48" s="100"/>
      <c r="J48" s="100"/>
      <c r="K48" s="143"/>
      <c r="L48" s="143"/>
      <c r="M48" s="145"/>
      <c r="N48" s="145"/>
      <c r="O48" s="145"/>
      <c r="P48" s="145"/>
      <c r="Q48" s="143"/>
    </row>
    <row r="49" spans="3:3" ht="15" x14ac:dyDescent="0.2">
      <c r="C49" s="141"/>
    </row>
  </sheetData>
  <sheetProtection algorithmName="SHA-512" hashValue="dCqrVa6iaxiwf45HGZUhz78N+UQt0ILBS05BIUxQEBMhhh2Ylku78SrGLmat0B1GeEFNYPWgzkGU56yYAwy3Eg==" saltValue="eA+3kbagO0F8q8NbwyhHmg==" spinCount="100000" sheet="1" objects="1" scenarios="1"/>
  <mergeCells count="13">
    <mergeCell ref="B2:P5"/>
    <mergeCell ref="C8:D8"/>
    <mergeCell ref="H9:I12"/>
    <mergeCell ref="K8:L8"/>
    <mergeCell ref="N8:O8"/>
    <mergeCell ref="C9:D46"/>
    <mergeCell ref="J44:O46"/>
    <mergeCell ref="H8:I8"/>
    <mergeCell ref="H42:I42"/>
    <mergeCell ref="H15:I15"/>
    <mergeCell ref="H28:I30"/>
    <mergeCell ref="H36:I36"/>
    <mergeCell ref="H7:O7"/>
  </mergeCells>
  <conditionalFormatting sqref="I18">
    <cfRule type="cellIs" dxfId="1" priority="1" operator="lessThan">
      <formula>3</formula>
    </cfRule>
  </conditionalFormatting>
  <pageMargins left="0.7" right="0.7" top="0.75" bottom="0.75" header="0.3" footer="0.3"/>
  <pageSetup scale="43" orientation="landscape" r:id="rId1"/>
  <colBreaks count="1" manualBreakCount="1">
    <brk id="17" max="1048575" man="1"/>
  </colBreaks>
  <ignoredErrors>
    <ignoredError sqref="J3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9"/>
  <sheetViews>
    <sheetView showGridLines="0" zoomScale="85" zoomScaleNormal="85" workbookViewId="0">
      <selection activeCell="B13" sqref="B13"/>
    </sheetView>
  </sheetViews>
  <sheetFormatPr defaultRowHeight="15" x14ac:dyDescent="0.25"/>
  <cols>
    <col min="1" max="1" width="9.140625" style="57"/>
    <col min="2" max="2" width="34.85546875" style="57" bestFit="1" customWidth="1"/>
    <col min="3" max="3" width="13.5703125" style="57" bestFit="1" customWidth="1"/>
    <col min="4" max="4" width="12.28515625" style="1" bestFit="1" customWidth="1"/>
    <col min="5" max="5" width="9.140625" style="1"/>
    <col min="6" max="6" width="19.85546875" style="1" customWidth="1"/>
    <col min="7" max="7" width="10.7109375" style="1" customWidth="1"/>
    <col min="8" max="8" width="2.85546875" style="1" customWidth="1"/>
    <col min="9" max="9" width="19.85546875" style="1" bestFit="1" customWidth="1"/>
    <col min="10" max="10" width="10.7109375" style="1" customWidth="1"/>
    <col min="11" max="16384" width="9.140625" style="1"/>
  </cols>
  <sheetData>
    <row r="2" spans="2:10" ht="15.75" thickBot="1" x14ac:dyDescent="0.3">
      <c r="B2" s="58" t="s">
        <v>32</v>
      </c>
      <c r="C2" s="69">
        <f>COUNTIF('TM-28 Inputs'!I21:I22,"&gt;="&amp;0)</f>
        <v>0</v>
      </c>
    </row>
    <row r="3" spans="2:10" ht="33.75" thickBot="1" x14ac:dyDescent="0.3">
      <c r="B3" s="59" t="s">
        <v>34</v>
      </c>
      <c r="C3" s="60" t="str">
        <f>IF(OR(C16='Product Inputs'!G8,C16='Product Inputs'!J8), C16,IF( C16&gt;MAX('Product Inputs'!G8,'Product Inputs'!J8),"In situ case temp too high",IF(C2=1,'Product Inputs'!G8,IF(AND(C2=2,C16&lt;MIN('Product Inputs'!G8,'Product Inputs'!J8)),'Product Inputs'!G8,IF( AND(C2=2,C16&gt;MIN('Product Inputs'!G8,'Product Inputs'!J8),C16&lt;MAX('Product Inputs'!G8,'Product Inputs'!J8)), MIN('Product Inputs'!G8,'Product Inputs'!J8),"error")))))</f>
        <v/>
      </c>
    </row>
    <row r="4" spans="2:10" ht="18" x14ac:dyDescent="0.25">
      <c r="B4" s="61" t="s">
        <v>18</v>
      </c>
      <c r="C4" s="190" t="str">
        <f>IF(C3='Product Inputs'!G8,'Product Inputs'!G9,IF(C3='Product Inputs'!J8,'Product Inputs'!J9))</f>
        <v/>
      </c>
      <c r="F4" s="269" t="s">
        <v>94</v>
      </c>
      <c r="G4" s="270"/>
      <c r="H4" s="270"/>
      <c r="I4" s="270"/>
      <c r="J4" s="271"/>
    </row>
    <row r="5" spans="2:10" ht="18.75" thickBot="1" x14ac:dyDescent="0.3">
      <c r="B5" s="62" t="s">
        <v>19</v>
      </c>
      <c r="C5" s="92" t="str">
        <f>IF(C3='Product Inputs'!G8,'Product Inputs'!G10,IF(C3='Product Inputs'!J8,'Product Inputs'!J10))</f>
        <v/>
      </c>
      <c r="F5" s="265" t="s">
        <v>11</v>
      </c>
      <c r="G5" s="266"/>
      <c r="H5" s="76"/>
      <c r="I5" s="267" t="s">
        <v>12</v>
      </c>
      <c r="J5" s="268"/>
    </row>
    <row r="6" spans="2:10" ht="30.75" thickBot="1" x14ac:dyDescent="0.3">
      <c r="B6" s="191"/>
      <c r="C6" s="192"/>
      <c r="F6" s="193" t="s">
        <v>95</v>
      </c>
      <c r="G6" s="77" t="str">
        <f>IF('TM-28 Inputs'!I21="","",'TM-28 Inputs'!I21)</f>
        <v/>
      </c>
      <c r="H6" s="78"/>
      <c r="I6" s="231" t="s">
        <v>95</v>
      </c>
      <c r="J6" s="79" t="str">
        <f>IF('TM-28 Inputs'!I22="","",'TM-28 Inputs'!I22)</f>
        <v/>
      </c>
    </row>
    <row r="7" spans="2:10" ht="33" x14ac:dyDescent="0.25">
      <c r="B7" s="59" t="s">
        <v>35</v>
      </c>
      <c r="C7" s="63" t="str">
        <f>IF(OR(C16='Product Inputs'!G8,C16='Product Inputs'!J8,C2=1),"N/A",IF(C16&gt;MAX('Product Inputs'!G8,'Product Inputs'!J8),"N/A", IF(OR(AND(C2=3,C16&lt;=MIN('Product Inputs'!G8,'Product Inputs'!J8)),AND(C16&lt;=MIN('Product Inputs'!G8,'Product Inputs'!J8),C2=2)),"N/A",IF(AND(C2=2,C16&gt;MIN('Product Inputs'!G8,'Product Inputs'!J8),C16&lt;MAX('Product Inputs'!G8,'Product Inputs'!J8)),MAX('Product Inputs'!G8,'Product Inputs'!J8),"error"))))</f>
        <v>N/A</v>
      </c>
      <c r="F7" s="194" t="s">
        <v>96</v>
      </c>
      <c r="G7" s="81" t="str">
        <f>IF('TM-28 Inputs'!I23="","",'TM-28 Inputs'!I23)</f>
        <v/>
      </c>
      <c r="H7" s="78"/>
      <c r="I7" s="232" t="s">
        <v>96</v>
      </c>
      <c r="J7" s="82" t="str">
        <f>IF('TM-28 Inputs'!I24="","",'TM-28 Inputs'!I24)</f>
        <v/>
      </c>
    </row>
    <row r="8" spans="2:10" x14ac:dyDescent="0.25">
      <c r="B8" s="61" t="s">
        <v>20</v>
      </c>
      <c r="C8" s="190" t="str">
        <f>IF(C7="N/A","N/A",IF(C7='Product Inputs'!G8,'Product Inputs'!G9,IF(C7='Product Inputs'!J8,'Product Inputs'!J9)))</f>
        <v>N/A</v>
      </c>
      <c r="F8" s="80" t="s">
        <v>10</v>
      </c>
      <c r="G8" s="81" t="str">
        <f>IF(G7="","",G7+273.15)</f>
        <v/>
      </c>
      <c r="H8" s="78"/>
      <c r="I8" s="233" t="s">
        <v>10</v>
      </c>
      <c r="J8" s="82" t="str">
        <f>IF(J7="","",J7+273.15)</f>
        <v/>
      </c>
    </row>
    <row r="9" spans="2:10" ht="18.75" thickBot="1" x14ac:dyDescent="0.3">
      <c r="B9" s="62" t="s">
        <v>21</v>
      </c>
      <c r="C9" s="92" t="str">
        <f>IF(C7="N/A","N/A",IF(C7='Product Inputs'!G8,'Product Inputs'!G10,IF(C7='Product Inputs'!J8,'Product Inputs'!J10)))</f>
        <v>N/A</v>
      </c>
      <c r="F9" s="80" t="str">
        <f>'Calculations - Ambient Temp 1'!E31</f>
        <v>α:</v>
      </c>
      <c r="G9" s="83" t="str">
        <f>IF(G7="","",'Calculations - Ambient Temp 1'!F31)</f>
        <v/>
      </c>
      <c r="H9" s="78"/>
      <c r="I9" s="233" t="str">
        <f>'Calculations - Ambient Temp 2'!E31</f>
        <v>α:</v>
      </c>
      <c r="J9" s="84" t="str">
        <f>IF(J7="","",'Calculations - Ambient Temp 2'!F31)</f>
        <v/>
      </c>
    </row>
    <row r="10" spans="2:10" ht="18" x14ac:dyDescent="0.25">
      <c r="B10" s="64" t="s">
        <v>17</v>
      </c>
      <c r="C10" s="63" t="str">
        <f>IF(OR(C7="N/A",'TM-28 Inputs'!I38=""),"",IF(AND(C3&gt;0,C7&gt;0),(LN(C4)-LN(C8))/((1/C7)-(1/C3)),"error"))</f>
        <v/>
      </c>
      <c r="F10" s="80" t="str">
        <f>'Calculations - Ambient Temp 1'!E32</f>
        <v>B:</v>
      </c>
      <c r="G10" s="85" t="str">
        <f>IF(G7="","",'Calculations - Ambient Temp 1'!F32)</f>
        <v/>
      </c>
      <c r="H10" s="78"/>
      <c r="I10" s="233" t="str">
        <f>'Calculations - Ambient Temp 2'!E32</f>
        <v>B:</v>
      </c>
      <c r="J10" s="86" t="str">
        <f>IF(J7="","",'Calculations - Ambient Temp 2'!F32)</f>
        <v/>
      </c>
    </row>
    <row r="11" spans="2:10" hidden="1" x14ac:dyDescent="0.25">
      <c r="F11" s="80" t="str">
        <f>'Calculations - Ambient Temp 1'!E33</f>
        <v>Calculated L (hrs):</v>
      </c>
      <c r="G11" s="87" t="str">
        <f>IF(G7="","",IF('Calculations - Ambient Temp 1'!C26="FAIL","",'Calculations - Ambient Temp 1'!F33))</f>
        <v/>
      </c>
      <c r="H11" s="78"/>
      <c r="I11" s="233" t="str">
        <f>'Calculations - Ambient Temp 2'!E33</f>
        <v>Calculated L (hrs):</v>
      </c>
      <c r="J11" s="88" t="str">
        <f>IF(J7="","",IF('Calculations - Ambient Temp 2'!C26="FAIL","",'Calculations - Ambient Temp 2'!F33))</f>
        <v/>
      </c>
    </row>
    <row r="12" spans="2:10" ht="18.75" thickBot="1" x14ac:dyDescent="0.3">
      <c r="B12" s="65" t="s">
        <v>22</v>
      </c>
      <c r="C12" s="66">
        <f>8.6173*(10^-5)</f>
        <v>8.6173000000000003E-5</v>
      </c>
      <c r="F12" s="89" t="str">
        <f>'Calculations - Ambient Temp 1'!E34</f>
        <v>Reported L (hrs):</v>
      </c>
      <c r="G12" s="90" t="str">
        <f>IF(G7="","",IF('Calculations - Ambient Temp 1'!C26="FAIL","",'Calculations - Ambient Temp 1'!F34))</f>
        <v/>
      </c>
      <c r="H12" s="235"/>
      <c r="I12" s="234" t="str">
        <f>'Calculations - Ambient Temp 2'!E34</f>
        <v>Reported L (hrs):</v>
      </c>
      <c r="J12" s="91" t="str">
        <f>IF(J7="","",IF('Calculations - Ambient Temp 2'!C26="FAIL","",'Calculations - Ambient Temp 2'!F34))</f>
        <v/>
      </c>
    </row>
    <row r="13" spans="2:10" ht="18" x14ac:dyDescent="0.25">
      <c r="B13" s="65" t="s">
        <v>23</v>
      </c>
      <c r="C13" s="66" t="str">
        <f>IF(OR(C7="N/A",'TM-28 Inputs'!I38=""),"",C10*C12)</f>
        <v/>
      </c>
    </row>
    <row r="14" spans="2:10" x14ac:dyDescent="0.25">
      <c r="B14" s="65" t="s">
        <v>2</v>
      </c>
      <c r="C14" s="190" t="str">
        <f>IF(OR(C7="N/A",'TM-28 Inputs'!I38=""),"",IF('TM-28 Inputs'!I38="","",C4*EXP(C13/(C12*C3))))</f>
        <v/>
      </c>
    </row>
    <row r="15" spans="2:10" ht="18.75" thickBot="1" x14ac:dyDescent="0.3">
      <c r="B15" s="67" t="s">
        <v>24</v>
      </c>
      <c r="C15" s="92" t="str">
        <f>IF('TM-28 Inputs'!I38="","",IF(C7="N/A",C5,IF('TM-28 Inputs'!I38="","",SQRT(C5*C9))))</f>
        <v/>
      </c>
      <c r="F15" s="1" t="s">
        <v>47</v>
      </c>
    </row>
    <row r="16" spans="2:10" ht="18" x14ac:dyDescent="0.25">
      <c r="B16" s="59" t="s">
        <v>36</v>
      </c>
      <c r="C16" s="68" t="str">
        <f>IF('TM-28 Inputs'!I38="","",'TM-28 Inputs'!I38+273.15)</f>
        <v/>
      </c>
    </row>
    <row r="17" spans="2:3" ht="18" x14ac:dyDescent="0.25">
      <c r="B17" s="61" t="s">
        <v>25</v>
      </c>
      <c r="C17" s="190" t="str">
        <f>IF('TM-28 Inputs'!I38="","",IF(C7="N/A",C4,C14*(EXP(-C10/C16))))</f>
        <v/>
      </c>
    </row>
    <row r="18" spans="2:3" hidden="1" x14ac:dyDescent="0.25">
      <c r="B18" s="65" t="str">
        <f>CONCATENATE("Calculated L",'TM-28 Inputs'!I39," (hrs):")</f>
        <v>Calculated L (hrs):</v>
      </c>
      <c r="C18" s="97" t="str">
        <f>IF('TM-28 Inputs'!I38="","",ROUND((LN(100*C15/'TM-28 Inputs'!I39)/C17),-3))</f>
        <v/>
      </c>
    </row>
    <row r="19" spans="2:3" ht="15.75" thickBot="1" x14ac:dyDescent="0.3">
      <c r="B19" s="67" t="str">
        <f>CONCATENATE("Reported L",'TM-28 Inputs'!I39," (hrs):")</f>
        <v>Reported L (hrs):</v>
      </c>
      <c r="C19" s="195" t="str">
        <f>IF(OR(AND('TM-28 Inputs'!$I$18&gt;=10,$C$18&lt;6*'TM-28 Inputs'!$I$19),AND('TM-28 Inputs'!$I$18&gt;=7,'TM-28 Inputs'!$I$18&lt;=9,$C$18&lt;5.5*'TM-28 Inputs'!$I$19),AND('TM-28 Inputs'!$I$18&gt;=5,'TM-28 Inputs'!$I$18&lt;=6,$C$18&lt;5*'TM-28 Inputs'!$I$19), AND('TM-28 Inputs'!$I$18=4,$C$18&lt;4*'TM-28 Inputs'!$I$19),AND('TM-28 Inputs'!$I$18=3,$C$18&lt;3*'TM-28 Inputs'!$I$19)),ROUND($C$18,-3),IF('TM-28 Inputs'!$I$18&gt;=10,CONCATENATE("&gt;",ROUND((6*'TM-28 Inputs'!$I$19),-3)),IF(AND('TM-28 Inputs'!$I$18&gt;=7,'TM-28 Inputs'!$I$18&lt;=9),CONCATENATE("&gt;",ROUND((5.5*'TM-28 Inputs'!$I$19),-3)),IF(AND('TM-28 Inputs'!$I$18&gt;=5,'TM-28 Inputs'!$I$18&lt;=6),CONCATENATE("&gt;",ROUND((5*'TM-28 Inputs'!$I$19),-3)),IF('TM-28 Inputs'!$I$18=4,CONCATENATE("&gt;",ROUND((4*'TM-28 Inputs'!$I$19),-3)),IF('TM-28 Inputs'!$I$18=3, CONCATENATE("&gt;",ROUND((3*'TM-28 Inputs'!$I$19),-3)),"error"))) )))</f>
        <v>&gt;0</v>
      </c>
    </row>
  </sheetData>
  <sheetProtection algorithmName="SHA-512" hashValue="MX7Cu0WPiYRtuK9uO66y/JSrK9W3V1PyLk7Ll8XRg9KB6K91VQ93Q252oNBkAVIyYyJ8CUTsfMJDprk87siFmg==" saltValue="ei6O63UsENulJM2CKyN+GA==" spinCount="100000" sheet="1" objects="1" scenarios="1"/>
  <mergeCells count="3">
    <mergeCell ref="F5:G5"/>
    <mergeCell ref="I5:J5"/>
    <mergeCell ref="F4:J4"/>
  </mergeCells>
  <conditionalFormatting sqref="C3">
    <cfRule type="cellIs" dxfId="0" priority="1" operator="equal">
      <formula>"In situ case temp too high"</formula>
    </cfRule>
  </conditionalFormatting>
  <pageMargins left="0.7" right="0.7" top="0.75" bottom="0.75" header="0.3" footer="0.3"/>
  <pageSetup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15"/>
  <sheetViews>
    <sheetView showGridLines="0" showRowColHeaders="0" topLeftCell="J1" zoomScaleNormal="100" workbookViewId="0">
      <selection activeCell="L2" sqref="L2"/>
    </sheetView>
  </sheetViews>
  <sheetFormatPr defaultRowHeight="15" x14ac:dyDescent="0.25"/>
  <cols>
    <col min="1" max="1" width="0" style="1" hidden="1" customWidth="1"/>
    <col min="2" max="2" width="37.85546875" style="1" hidden="1" customWidth="1"/>
    <col min="3" max="3" width="12" style="1" hidden="1" customWidth="1"/>
    <col min="4" max="4" width="0" style="1" hidden="1" customWidth="1"/>
    <col min="5" max="5" width="37.85546875" style="1" hidden="1" customWidth="1"/>
    <col min="6" max="6" width="12" style="1" hidden="1" customWidth="1"/>
    <col min="7" max="7" width="0" style="1" hidden="1" customWidth="1"/>
    <col min="8" max="8" width="37.85546875" style="1" hidden="1" customWidth="1"/>
    <col min="9" max="9" width="12" style="1" hidden="1" customWidth="1"/>
    <col min="10" max="10" width="9.140625" style="1"/>
    <col min="11" max="11" width="7.5703125" style="1" bestFit="1" customWidth="1"/>
    <col min="12" max="12" width="12" style="1" customWidth="1"/>
    <col min="13" max="16384" width="9.140625" style="1"/>
  </cols>
  <sheetData>
    <row r="1" spans="2:12" ht="15.75" thickBot="1" x14ac:dyDescent="0.3"/>
    <row r="2" spans="2:12" ht="18" x14ac:dyDescent="0.35">
      <c r="B2" s="45" t="s">
        <v>37</v>
      </c>
      <c r="C2" s="56">
        <f>'TM-28 Inputs'!I16</f>
        <v>0</v>
      </c>
      <c r="E2" s="45" t="s">
        <v>37</v>
      </c>
      <c r="F2" s="56">
        <f>'TM-28 Inputs'!I16</f>
        <v>0</v>
      </c>
      <c r="H2" s="45" t="s">
        <v>37</v>
      </c>
      <c r="I2" s="56">
        <f>'TM-28 Inputs'!I16</f>
        <v>0</v>
      </c>
      <c r="K2" s="40" t="s">
        <v>26</v>
      </c>
      <c r="L2" s="52" t="str">
        <f>IFERROR('Product Inputs'!C3-273.15,"")</f>
        <v/>
      </c>
    </row>
    <row r="3" spans="2:12" ht="18" x14ac:dyDescent="0.35">
      <c r="B3" s="44" t="s">
        <v>38</v>
      </c>
      <c r="C3" s="46">
        <f>'TM-28 Inputs'!I17</f>
        <v>0</v>
      </c>
      <c r="E3" s="44" t="s">
        <v>38</v>
      </c>
      <c r="F3" s="46">
        <f>'TM-28 Inputs'!I17</f>
        <v>0</v>
      </c>
      <c r="H3" s="44" t="s">
        <v>38</v>
      </c>
      <c r="I3" s="46">
        <f>'TM-28 Inputs'!I17</f>
        <v>0</v>
      </c>
      <c r="K3" s="41" t="s">
        <v>27</v>
      </c>
      <c r="L3" s="53" t="str">
        <f>'Product Inputs'!C3</f>
        <v/>
      </c>
    </row>
    <row r="4" spans="2:12" ht="18" x14ac:dyDescent="0.35">
      <c r="B4" s="44" t="s">
        <v>0</v>
      </c>
      <c r="C4" s="46" t="str">
        <f>'TM-28 Inputs'!I18</f>
        <v/>
      </c>
      <c r="E4" s="44" t="s">
        <v>0</v>
      </c>
      <c r="F4" s="46" t="str">
        <f>'TM-28 Inputs'!I18</f>
        <v/>
      </c>
      <c r="H4" s="44" t="s">
        <v>0</v>
      </c>
      <c r="I4" s="46" t="str">
        <f>'TM-28 Inputs'!I18</f>
        <v/>
      </c>
      <c r="K4" s="42" t="s">
        <v>18</v>
      </c>
      <c r="L4" s="93" t="str">
        <f>'Product Inputs'!C4</f>
        <v/>
      </c>
    </row>
    <row r="5" spans="2:12" ht="18.75" thickBot="1" x14ac:dyDescent="0.4">
      <c r="B5" s="44" t="s">
        <v>39</v>
      </c>
      <c r="C5" s="46">
        <f>'TM-28 Inputs'!I20</f>
        <v>0</v>
      </c>
      <c r="E5" s="44" t="s">
        <v>39</v>
      </c>
      <c r="F5" s="46">
        <f>'TM-28 Inputs'!I20</f>
        <v>0</v>
      </c>
      <c r="H5" s="44" t="s">
        <v>39</v>
      </c>
      <c r="I5" s="46">
        <f>'TM-28 Inputs'!I20</f>
        <v>0</v>
      </c>
      <c r="K5" s="43" t="s">
        <v>19</v>
      </c>
      <c r="L5" s="95" t="str">
        <f>'Product Inputs'!C5</f>
        <v/>
      </c>
    </row>
    <row r="6" spans="2:12" ht="18" x14ac:dyDescent="0.35">
      <c r="B6" s="44" t="s">
        <v>40</v>
      </c>
      <c r="C6" s="46">
        <f>'TM-28 Inputs'!I19</f>
        <v>0</v>
      </c>
      <c r="E6" s="44" t="s">
        <v>40</v>
      </c>
      <c r="F6" s="46">
        <f>'TM-28 Inputs'!I19</f>
        <v>0</v>
      </c>
      <c r="H6" s="44" t="s">
        <v>40</v>
      </c>
      <c r="I6" s="46" t="e">
        <f>IF(I8="","",'TM-28 Inputs'!I19)</f>
        <v>#REF!</v>
      </c>
      <c r="K6" s="40" t="s">
        <v>33</v>
      </c>
      <c r="L6" s="52" t="str">
        <f>IFERROR('Product Inputs'!C7-273.15,"")</f>
        <v/>
      </c>
    </row>
    <row r="7" spans="2:12" ht="31.5" x14ac:dyDescent="0.35">
      <c r="B7" s="44" t="s">
        <v>41</v>
      </c>
      <c r="C7" s="47">
        <f>C6-MIN('Calculations - Ambient Temp 1'!E6:E25)</f>
        <v>0</v>
      </c>
      <c r="E7" s="44" t="s">
        <v>41</v>
      </c>
      <c r="F7" s="47">
        <f>C6-MIN('Calculations - Ambient Temp 2'!E6:E25)</f>
        <v>0</v>
      </c>
      <c r="H7" s="44" t="s">
        <v>41</v>
      </c>
      <c r="I7" s="47" t="e">
        <f>IF(I8="","",C6-MIN(#REF!))</f>
        <v>#REF!</v>
      </c>
      <c r="K7" s="41" t="s">
        <v>28</v>
      </c>
      <c r="L7" s="54" t="str">
        <f>'Product Inputs'!C7</f>
        <v>N/A</v>
      </c>
    </row>
    <row r="8" spans="2:12" ht="18" x14ac:dyDescent="0.35">
      <c r="B8" s="44" t="s">
        <v>42</v>
      </c>
      <c r="C8" s="46" t="str">
        <f>IF('TM-28 Inputs'!I21="","",'TM-28 Inputs'!I21)</f>
        <v/>
      </c>
      <c r="E8" s="44" t="s">
        <v>42</v>
      </c>
      <c r="F8" s="46" t="str">
        <f>IF('TM-28 Inputs'!I22="","",'TM-28 Inputs'!I22)</f>
        <v/>
      </c>
      <c r="H8" s="44" t="s">
        <v>42</v>
      </c>
      <c r="I8" s="46" t="e">
        <f>IF('TM-28 Inputs'!#REF!="","",'TM-28 Inputs'!#REF!)</f>
        <v>#REF!</v>
      </c>
      <c r="K8" s="42" t="s">
        <v>29</v>
      </c>
      <c r="L8" s="93" t="str">
        <f>'Product Inputs'!C8</f>
        <v>N/A</v>
      </c>
    </row>
    <row r="9" spans="2:12" ht="18.75" thickBot="1" x14ac:dyDescent="0.4">
      <c r="B9" s="42" t="s">
        <v>15</v>
      </c>
      <c r="C9" s="48" t="e">
        <f>'Calculations - Ambient Temp 1'!F31</f>
        <v>#NUM!</v>
      </c>
      <c r="E9" s="42" t="s">
        <v>15</v>
      </c>
      <c r="F9" s="48" t="str">
        <f>'Calculations - Ambient Temp 2'!F31</f>
        <v/>
      </c>
      <c r="H9" s="42" t="s">
        <v>15</v>
      </c>
      <c r="I9" s="48" t="e">
        <f>IF(I8="","",#REF!)</f>
        <v>#REF!</v>
      </c>
      <c r="K9" s="43" t="s">
        <v>21</v>
      </c>
      <c r="L9" s="95" t="str">
        <f>'Product Inputs'!C9</f>
        <v>N/A</v>
      </c>
    </row>
    <row r="10" spans="2:12" ht="18" x14ac:dyDescent="0.35">
      <c r="B10" s="44" t="s">
        <v>16</v>
      </c>
      <c r="C10" s="48" t="e">
        <f>'Calculations - Ambient Temp 1'!F32</f>
        <v>#NUM!</v>
      </c>
      <c r="E10" s="44" t="s">
        <v>16</v>
      </c>
      <c r="F10" s="48" t="str">
        <f>'Calculations - Ambient Temp 2'!F32</f>
        <v/>
      </c>
      <c r="H10" s="44" t="s">
        <v>16</v>
      </c>
      <c r="I10" s="48" t="e">
        <f>IF(I8="","",#REF!)</f>
        <v>#REF!</v>
      </c>
      <c r="K10" s="40" t="s">
        <v>17</v>
      </c>
      <c r="L10" s="55" t="str">
        <f>'Product Inputs'!C10</f>
        <v/>
      </c>
    </row>
    <row r="11" spans="2:12" x14ac:dyDescent="0.25">
      <c r="B11" s="44" t="str">
        <f>CONCATENATE("Calculated L",'TM-28 Inputs'!I39," (hrs):")</f>
        <v>Calculated L (hrs):</v>
      </c>
      <c r="C11" s="49" t="e">
        <f>'Calculations - Ambient Temp 1'!F33</f>
        <v>#NUM!</v>
      </c>
      <c r="E11" s="44" t="str">
        <f>CONCATENATE("Calculated L",'TM-28 Inputs'!I39," (hrs):")</f>
        <v>Calculated L (hrs):</v>
      </c>
      <c r="F11" s="49" t="str">
        <f>'Calculations - Ambient Temp 2'!F33</f>
        <v/>
      </c>
      <c r="H11" s="44" t="str">
        <f>CONCATENATE("Calculated L",'TM-28 Inputs'!I39," (hrs):")</f>
        <v>Calculated L (hrs):</v>
      </c>
      <c r="I11" s="49" t="e">
        <f>IF(I8="","",#REF!)</f>
        <v>#REF!</v>
      </c>
      <c r="K11" s="41" t="s">
        <v>2</v>
      </c>
      <c r="L11" s="236" t="str">
        <f>'Product Inputs'!C14</f>
        <v/>
      </c>
    </row>
    <row r="12" spans="2:12" ht="18.75" thickBot="1" x14ac:dyDescent="0.4">
      <c r="B12" s="50" t="str">
        <f>CONCATENATE("Reported L",'TM-28 Inputs'!I39," (hrs):")</f>
        <v>Reported L (hrs):</v>
      </c>
      <c r="C12" s="51" t="e">
        <f>'Calculations - Ambient Temp 1'!F34</f>
        <v>#NUM!</v>
      </c>
      <c r="E12" s="50" t="str">
        <f>CONCATENATE("Reported L",'TM-28 Inputs'!I39," (hrs):")</f>
        <v>Reported L (hrs):</v>
      </c>
      <c r="F12" s="51" t="str">
        <f>'Calculations - Ambient Temp 2'!F34</f>
        <v/>
      </c>
      <c r="H12" s="50" t="str">
        <f>CONCATENATE("Reported L",'TM-28 Inputs'!I39," (hrs):")</f>
        <v>Reported L (hrs):</v>
      </c>
      <c r="I12" s="51" t="e">
        <f>IF(I8="","",#REF!)</f>
        <v>#REF!</v>
      </c>
      <c r="K12" s="43" t="s">
        <v>24</v>
      </c>
      <c r="L12" s="96" t="str">
        <f>'Product Inputs'!C15</f>
        <v/>
      </c>
    </row>
    <row r="13" spans="2:12" ht="18" x14ac:dyDescent="0.35">
      <c r="K13" s="40" t="s">
        <v>30</v>
      </c>
      <c r="L13" s="56" t="str">
        <f>IF('Product Inputs'!C16="","",'Product Inputs'!C16-273.15)</f>
        <v/>
      </c>
    </row>
    <row r="14" spans="2:12" ht="18" x14ac:dyDescent="0.35">
      <c r="K14" s="41" t="s">
        <v>31</v>
      </c>
      <c r="L14" s="46" t="str">
        <f>'Product Inputs'!C16</f>
        <v/>
      </c>
    </row>
    <row r="15" spans="2:12" ht="18.75" thickBot="1" x14ac:dyDescent="0.4">
      <c r="K15" s="70" t="s">
        <v>25</v>
      </c>
      <c r="L15" s="94" t="str">
        <f>'Product Inputs'!C17</f>
        <v/>
      </c>
    </row>
  </sheetData>
  <sheetProtection algorithmName="SHA-512" hashValue="a6Ts1hWHO2Rd2M6iv3Ume0Rz0/RcW0W8z+ZxFBS+pr8L296TWt1XzPXfu8GCGrE71b6R1/tu8nrBir1venJi3g==" saltValue="Xr2rZ9U4q9bQBbuz/j2VVQ==" spinCount="100000" sheet="1" objects="1" scenarios="1"/>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1"/>
  <sheetViews>
    <sheetView showGridLines="0" showRowColHeaders="0" zoomScale="90" zoomScaleNormal="90" workbookViewId="0">
      <selection activeCell="D22" sqref="D22"/>
    </sheetView>
  </sheetViews>
  <sheetFormatPr defaultRowHeight="15" x14ac:dyDescent="0.25"/>
  <cols>
    <col min="1" max="1" width="1.85546875" style="101" customWidth="1"/>
    <col min="2" max="2" width="2.7109375" style="101" customWidth="1"/>
    <col min="3" max="3" width="25.42578125" style="101" bestFit="1" customWidth="1"/>
    <col min="4" max="4" width="15.7109375" style="101" customWidth="1"/>
    <col min="5" max="5" width="2.140625" style="101" customWidth="1"/>
    <col min="6" max="6" width="25.42578125" style="101" bestFit="1" customWidth="1"/>
    <col min="7" max="7" width="15.7109375" style="101" customWidth="1"/>
    <col min="8" max="8" width="2.140625" style="101" customWidth="1"/>
    <col min="9" max="9" width="28.140625" style="101" bestFit="1" customWidth="1"/>
    <col min="10" max="10" width="21" style="101" customWidth="1"/>
    <col min="11" max="11" width="2.42578125" style="101" customWidth="1"/>
    <col min="12" max="12" width="1.85546875" style="101" customWidth="1"/>
    <col min="13" max="16384" width="9.140625" style="101"/>
  </cols>
  <sheetData>
    <row r="1" spans="1:12" ht="11.25" customHeight="1" x14ac:dyDescent="0.25">
      <c r="A1" s="99"/>
      <c r="B1" s="99"/>
      <c r="C1" s="100"/>
      <c r="D1" s="100"/>
      <c r="E1" s="100"/>
      <c r="F1" s="100"/>
      <c r="G1" s="100"/>
      <c r="H1" s="100"/>
      <c r="I1" s="100"/>
      <c r="J1" s="100"/>
      <c r="K1" s="100"/>
      <c r="L1" s="100"/>
    </row>
    <row r="2" spans="1:12" ht="15" customHeight="1" x14ac:dyDescent="0.25">
      <c r="A2" s="99"/>
      <c r="B2" s="282" t="s">
        <v>93</v>
      </c>
      <c r="C2" s="282"/>
      <c r="D2" s="282"/>
      <c r="E2" s="282"/>
      <c r="F2" s="282"/>
      <c r="G2" s="282"/>
      <c r="H2" s="282"/>
      <c r="I2" s="282"/>
      <c r="J2" s="282"/>
      <c r="K2" s="282"/>
      <c r="L2" s="100"/>
    </row>
    <row r="3" spans="1:12" ht="15" customHeight="1" x14ac:dyDescent="0.25">
      <c r="A3" s="99"/>
      <c r="B3" s="282"/>
      <c r="C3" s="282"/>
      <c r="D3" s="282"/>
      <c r="E3" s="282"/>
      <c r="F3" s="282"/>
      <c r="G3" s="282"/>
      <c r="H3" s="282"/>
      <c r="I3" s="282"/>
      <c r="J3" s="282"/>
      <c r="K3" s="282"/>
      <c r="L3" s="100"/>
    </row>
    <row r="4" spans="1:12" ht="15" customHeight="1" x14ac:dyDescent="0.25">
      <c r="A4" s="99"/>
      <c r="B4" s="282"/>
      <c r="C4" s="282"/>
      <c r="D4" s="282"/>
      <c r="E4" s="282"/>
      <c r="F4" s="282"/>
      <c r="G4" s="282"/>
      <c r="H4" s="282"/>
      <c r="I4" s="282"/>
      <c r="J4" s="282"/>
      <c r="K4" s="282"/>
      <c r="L4" s="100"/>
    </row>
    <row r="5" spans="1:12" ht="12" customHeight="1" x14ac:dyDescent="0.25">
      <c r="A5" s="99"/>
      <c r="B5" s="282"/>
      <c r="C5" s="282"/>
      <c r="D5" s="282"/>
      <c r="E5" s="282"/>
      <c r="F5" s="282"/>
      <c r="G5" s="282"/>
      <c r="H5" s="282"/>
      <c r="I5" s="282"/>
      <c r="J5" s="282"/>
      <c r="K5" s="282"/>
      <c r="L5" s="100"/>
    </row>
    <row r="6" spans="1:12" ht="8.25" customHeight="1" x14ac:dyDescent="0.25">
      <c r="A6" s="99"/>
      <c r="B6" s="282"/>
      <c r="C6" s="282"/>
      <c r="D6" s="282"/>
      <c r="E6" s="282"/>
      <c r="F6" s="282"/>
      <c r="G6" s="282"/>
      <c r="H6" s="282"/>
      <c r="I6" s="282"/>
      <c r="J6" s="282"/>
      <c r="K6" s="282"/>
      <c r="L6" s="100"/>
    </row>
    <row r="7" spans="1:12" ht="10.5" customHeight="1" x14ac:dyDescent="0.25">
      <c r="A7" s="99"/>
      <c r="B7" s="100"/>
      <c r="C7" s="100"/>
      <c r="D7" s="100"/>
      <c r="E7" s="100"/>
      <c r="F7" s="100"/>
      <c r="G7" s="100"/>
      <c r="H7" s="100"/>
      <c r="I7" s="100"/>
      <c r="J7" s="100"/>
      <c r="K7" s="100"/>
      <c r="L7" s="99"/>
    </row>
    <row r="8" spans="1:12" ht="15.75" thickBot="1" x14ac:dyDescent="0.3">
      <c r="A8" s="99"/>
      <c r="B8" s="102"/>
      <c r="C8" s="102"/>
      <c r="D8" s="102"/>
      <c r="E8" s="102"/>
      <c r="F8" s="102"/>
      <c r="G8" s="102"/>
      <c r="H8" s="102"/>
      <c r="I8" s="102"/>
      <c r="J8" s="102"/>
      <c r="K8" s="102"/>
      <c r="L8" s="100"/>
    </row>
    <row r="9" spans="1:12" ht="15.75" thickBot="1" x14ac:dyDescent="0.3">
      <c r="A9" s="99"/>
      <c r="B9" s="102"/>
      <c r="C9" s="279" t="s">
        <v>94</v>
      </c>
      <c r="D9" s="280"/>
      <c r="E9" s="280"/>
      <c r="F9" s="280"/>
      <c r="G9" s="281"/>
      <c r="H9" s="103"/>
      <c r="I9" s="283" t="s">
        <v>69</v>
      </c>
      <c r="J9" s="284"/>
      <c r="K9" s="102"/>
      <c r="L9" s="100"/>
    </row>
    <row r="10" spans="1:12" ht="15" customHeight="1" thickBot="1" x14ac:dyDescent="0.3">
      <c r="A10" s="99"/>
      <c r="B10" s="102"/>
      <c r="C10" s="289" t="s">
        <v>76</v>
      </c>
      <c r="D10" s="290"/>
      <c r="E10" s="291"/>
      <c r="F10" s="273" t="str">
        <f>IF('TM-28 Inputs'!H9="","",'TM-28 Inputs'!H9)</f>
        <v/>
      </c>
      <c r="G10" s="274"/>
      <c r="H10" s="103"/>
      <c r="I10" s="285" t="s">
        <v>99</v>
      </c>
      <c r="J10" s="286"/>
      <c r="K10" s="102"/>
      <c r="L10" s="100"/>
    </row>
    <row r="11" spans="1:12" ht="18.75" x14ac:dyDescent="0.25">
      <c r="A11" s="99"/>
      <c r="B11" s="102"/>
      <c r="C11" s="292"/>
      <c r="D11" s="293"/>
      <c r="E11" s="294"/>
      <c r="F11" s="275"/>
      <c r="G11" s="276"/>
      <c r="H11" s="103"/>
      <c r="I11" s="219" t="s">
        <v>56</v>
      </c>
      <c r="J11" s="130" t="str">
        <f>IF('TM-28 Projection'!L2="","-",'TM-28 Projection'!L2)</f>
        <v>-</v>
      </c>
      <c r="K11" s="102"/>
      <c r="L11" s="100"/>
    </row>
    <row r="12" spans="1:12" ht="28.5" customHeight="1" thickBot="1" x14ac:dyDescent="0.3">
      <c r="A12" s="99"/>
      <c r="B12" s="102"/>
      <c r="C12" s="295"/>
      <c r="D12" s="296"/>
      <c r="E12" s="297"/>
      <c r="F12" s="277"/>
      <c r="G12" s="278"/>
      <c r="H12" s="103"/>
      <c r="I12" s="220" t="s">
        <v>57</v>
      </c>
      <c r="J12" s="131" t="str">
        <f>IF(OR('TM-28 Projection'!L3="",'TM-28 Projection'!L3="In situ case temp too high"),"-",'TM-28 Projection'!L3)</f>
        <v>-</v>
      </c>
      <c r="K12" s="102"/>
      <c r="L12" s="100"/>
    </row>
    <row r="13" spans="1:12" ht="19.5" customHeight="1" thickBot="1" x14ac:dyDescent="0.3">
      <c r="A13" s="99"/>
      <c r="B13" s="102"/>
      <c r="C13" s="287" t="str">
        <f>IF('TM-28 Inputs'!I21="","",CONCATENATE("Test Condition 1 - ",'TM-28 Inputs'!I21,"⁰C Ambient Temp"))</f>
        <v/>
      </c>
      <c r="D13" s="288"/>
      <c r="E13" s="103"/>
      <c r="F13" s="287" t="str">
        <f>IF('TM-28 Inputs'!I22="","",CONCATENATE("Test Condition 2 - ",'TM-28 Inputs'!I22,"⁰C Ambient Temp"))</f>
        <v/>
      </c>
      <c r="G13" s="288"/>
      <c r="H13" s="103"/>
      <c r="I13" s="221" t="s">
        <v>58</v>
      </c>
      <c r="J13" s="132" t="str">
        <f>IF('TM-28 Projection'!L4="","-",'TM-28 Projection'!L4)</f>
        <v>-</v>
      </c>
      <c r="K13" s="102"/>
      <c r="L13" s="100"/>
    </row>
    <row r="14" spans="1:12" s="108" customFormat="1" ht="18.75" x14ac:dyDescent="0.25">
      <c r="A14" s="99"/>
      <c r="B14" s="104"/>
      <c r="C14" s="117" t="s">
        <v>53</v>
      </c>
      <c r="D14" s="121" t="str">
        <f>IF(OR('TM-28 Inputs'!$I$16="",C13=""),"-",'TM-28 Inputs'!$I$16)</f>
        <v>-</v>
      </c>
      <c r="E14" s="105"/>
      <c r="F14" s="117" t="str">
        <f>C14</f>
        <v>Sample size</v>
      </c>
      <c r="G14" s="121" t="str">
        <f>IF(OR('TM-28 Inputs'!$I$16="",F13=""),"-",'TM-28 Inputs'!$I$16)</f>
        <v>-</v>
      </c>
      <c r="H14" s="105"/>
      <c r="I14" s="222" t="s">
        <v>59</v>
      </c>
      <c r="J14" s="133" t="str">
        <f>IF('TM-28 Projection'!L5="","-",'TM-28 Projection'!L5)</f>
        <v>-</v>
      </c>
      <c r="K14" s="104"/>
      <c r="L14" s="100"/>
    </row>
    <row r="15" spans="1:12" s="108" customFormat="1" ht="18.75" x14ac:dyDescent="0.25">
      <c r="A15" s="99"/>
      <c r="B15" s="104"/>
      <c r="C15" s="117" t="s">
        <v>52</v>
      </c>
      <c r="D15" s="121" t="str">
        <f>IF(OR('TM-28 Inputs'!$I$17="",C13=""),"-",'TM-28 Inputs'!$I$17)</f>
        <v>-</v>
      </c>
      <c r="E15" s="105"/>
      <c r="F15" s="117" t="str">
        <f t="shared" ref="F15:F21" si="0">C15</f>
        <v>Number of failures</v>
      </c>
      <c r="G15" s="121" t="str">
        <f>IF(OR('TM-28 Inputs'!$I$17="",F13=""),"-",'TM-28 Inputs'!$I$17)</f>
        <v>-</v>
      </c>
      <c r="H15" s="105"/>
      <c r="I15" s="223" t="s">
        <v>60</v>
      </c>
      <c r="J15" s="134" t="str">
        <f>IF('TM-28 Projection'!L6="","-",'TM-28 Projection'!L6)</f>
        <v>-</v>
      </c>
      <c r="K15" s="104"/>
      <c r="L15" s="100"/>
    </row>
    <row r="16" spans="1:12" s="108" customFormat="1" ht="28.5" x14ac:dyDescent="0.25">
      <c r="A16" s="99"/>
      <c r="B16" s="104"/>
      <c r="C16" s="117" t="s">
        <v>51</v>
      </c>
      <c r="D16" s="121" t="str">
        <f>IF(OR('TM-28 Inputs'!$I$20="",C13=""),"-",'TM-28 Inputs'!$I$20)</f>
        <v>-</v>
      </c>
      <c r="E16" s="105"/>
      <c r="F16" s="117" t="str">
        <f t="shared" si="0"/>
        <v>DUT drive current used in the test (mA)</v>
      </c>
      <c r="G16" s="121" t="str">
        <f>IF(OR('TM-28 Inputs'!$I$20="",F13=""),"-",'TM-28 Inputs'!$I$20)</f>
        <v>-</v>
      </c>
      <c r="H16" s="105"/>
      <c r="I16" s="220" t="s">
        <v>61</v>
      </c>
      <c r="J16" s="135" t="str">
        <f>IF(OR('TM-28 Projection'!L7="",'TM-28 Projection'!L7="N/A"),"-",'TM-28 Projection'!L7)</f>
        <v>-</v>
      </c>
      <c r="K16" s="104"/>
      <c r="L16" s="100"/>
    </row>
    <row r="17" spans="1:12" s="108" customFormat="1" ht="18.75" x14ac:dyDescent="0.25">
      <c r="A17" s="99"/>
      <c r="B17" s="104"/>
      <c r="C17" s="117" t="s">
        <v>54</v>
      </c>
      <c r="D17" s="122" t="str">
        <f>IF(OR('TM-28 Inputs'!I19="",C13=""),"-",'TM-28 Inputs'!I19)</f>
        <v>-</v>
      </c>
      <c r="E17" s="105"/>
      <c r="F17" s="117" t="str">
        <f t="shared" si="0"/>
        <v>Test duration (hours)</v>
      </c>
      <c r="G17" s="128" t="str">
        <f>IF(OR('TM-28 Inputs'!I19="",F13=""),"-",'TM-28 Inputs'!I19)</f>
        <v>-</v>
      </c>
      <c r="H17" s="105"/>
      <c r="I17" s="221" t="s">
        <v>62</v>
      </c>
      <c r="J17" s="132" t="str">
        <f>IF(OR('TM-28 Projection'!L8="",'TM-28 Projection'!L8="N/A"),"-",'TM-28 Projection'!L8)</f>
        <v>-</v>
      </c>
      <c r="K17" s="104"/>
      <c r="L17" s="100"/>
    </row>
    <row r="18" spans="1:12" s="108" customFormat="1" ht="36" customHeight="1" x14ac:dyDescent="0.25">
      <c r="A18" s="99"/>
      <c r="B18" s="106"/>
      <c r="C18" s="118" t="s">
        <v>55</v>
      </c>
      <c r="D18" s="123" t="str">
        <f>IF(OR('TM-28 Inputs'!I19="",C13=""),"-",IF(SUM('Calculations - Ambient Temp 1'!E6:E25)=0,"-",CONCATENATE(TEXT(MIN('Calculations - Ambient Temp 1'!E6:E25),"#,##0")," - ",TEXT(MAX('Calculations - Ambient Temp 1'!E6:E25),"#,##0"))))</f>
        <v>-</v>
      </c>
      <c r="E18" s="107"/>
      <c r="F18" s="118" t="str">
        <f t="shared" si="0"/>
        <v>Test duration used for projection (hour to hour)</v>
      </c>
      <c r="G18" s="129" t="str">
        <f>IF(OR('TM-28 Inputs'!I19="",F13=""),"-",IF(SUM('Calculations - Ambient Temp 1'!E6:E25)=0,"-",CONCATENATE(TEXT(MIN('Calculations - Ambient Temp 1'!E6:E25),"#,##0")," - ",TEXT(MAX('Calculations - Ambient Temp 1'!E6:E25),"#,##0"))))</f>
        <v>-</v>
      </c>
      <c r="H18" s="107"/>
      <c r="I18" s="224" t="s">
        <v>63</v>
      </c>
      <c r="J18" s="136" t="str">
        <f>IF(OR('TM-28 Projection'!L9="",'TM-28 Projection'!L9="N/A"),"-",'TM-28 Projection'!L9)</f>
        <v>-</v>
      </c>
      <c r="K18" s="104"/>
      <c r="L18" s="100"/>
    </row>
    <row r="19" spans="1:12" s="108" customFormat="1" ht="28.5" x14ac:dyDescent="0.25">
      <c r="A19" s="99"/>
      <c r="B19" s="104"/>
      <c r="C19" s="117" t="s">
        <v>48</v>
      </c>
      <c r="D19" s="124" t="str">
        <f>IF('Product Inputs'!G7="","-",'Product Inputs'!G7)</f>
        <v>-</v>
      </c>
      <c r="E19" s="105"/>
      <c r="F19" s="117" t="str">
        <f t="shared" si="0"/>
        <v>Tested case temperature (⁰C)</v>
      </c>
      <c r="G19" s="124" t="str">
        <f>IF('Product Inputs'!J7="","-",'Product Inputs'!J7)</f>
        <v>-</v>
      </c>
      <c r="H19" s="105"/>
      <c r="I19" s="223" t="s">
        <v>64</v>
      </c>
      <c r="J19" s="137" t="str">
        <f>IF(OR(J13&lt;0,J17&lt;0),"-",IF('TM-28 Projection'!L10="","-",'TM-28 Projection'!L10))</f>
        <v>-</v>
      </c>
      <c r="K19" s="104"/>
      <c r="L19" s="100"/>
    </row>
    <row r="20" spans="1:12" s="108" customFormat="1" x14ac:dyDescent="0.25">
      <c r="A20" s="99"/>
      <c r="B20" s="104"/>
      <c r="C20" s="117" t="s">
        <v>49</v>
      </c>
      <c r="D20" s="125" t="str">
        <f>IF('Product Inputs'!G9="","-",'Product Inputs'!G9)</f>
        <v>-</v>
      </c>
      <c r="E20" s="105"/>
      <c r="F20" s="117" t="str">
        <f t="shared" si="0"/>
        <v>α</v>
      </c>
      <c r="G20" s="125" t="str">
        <f>IF('Product Inputs'!J9="","-",'Product Inputs'!J9)</f>
        <v>-</v>
      </c>
      <c r="H20" s="105"/>
      <c r="I20" s="220" t="s">
        <v>2</v>
      </c>
      <c r="J20" s="132" t="str">
        <f>IF(OR(J13&lt;0,J17&lt;0),"-",IF('TM-28 Projection'!L11="","-",'TM-28 Projection'!L11))</f>
        <v>-</v>
      </c>
      <c r="K20" s="104"/>
      <c r="L20" s="100"/>
    </row>
    <row r="21" spans="1:12" s="108" customFormat="1" ht="18.75" x14ac:dyDescent="0.25">
      <c r="A21" s="99"/>
      <c r="B21" s="104"/>
      <c r="C21" s="119" t="s">
        <v>50</v>
      </c>
      <c r="D21" s="126" t="str">
        <f>IF('Product Inputs'!G10="","-",'Product Inputs'!G10)</f>
        <v>-</v>
      </c>
      <c r="E21" s="105"/>
      <c r="F21" s="119" t="str">
        <f t="shared" si="0"/>
        <v>B</v>
      </c>
      <c r="G21" s="126" t="str">
        <f>IF('Product Inputs'!J10="","-",'Product Inputs'!J10)</f>
        <v>-</v>
      </c>
      <c r="H21" s="105"/>
      <c r="I21" s="224" t="s">
        <v>65</v>
      </c>
      <c r="J21" s="136" t="str">
        <f>IF('TM-28 Projection'!L12="","-",'TM-28 Projection'!L12)</f>
        <v>-</v>
      </c>
      <c r="K21" s="104"/>
      <c r="L21" s="100"/>
    </row>
    <row r="22" spans="1:12" s="108" customFormat="1" ht="19.5" thickBot="1" x14ac:dyDescent="0.3">
      <c r="A22" s="99"/>
      <c r="B22" s="104"/>
      <c r="C22" s="120" t="str">
        <f>IF('TM-28 Inputs'!I39 = "", CONCATENATE("Reported LM",  IF('TM-28 Inputs'!I19="","(Dk) (hours)",CONCATENATE("(",ROUND('TM-28 Inputs'!I19/1000,0),"k) (hours)"))),CONCATENATE("Reported L",'TM-28 Inputs'!I39, IF('TM-28 Inputs'!I19="","(Dk) (hours)",CONCATENATE("(",ROUND('TM-28 Inputs'!I19/1000,0),"k) (hours)"))))</f>
        <v>Reported LM(Dk) (hours)</v>
      </c>
      <c r="D22" s="127" t="str">
        <f>IF('Product Inputs'!G12="","-",'Product Inputs'!G12)</f>
        <v>-</v>
      </c>
      <c r="E22" s="105"/>
      <c r="F22" s="120" t="str">
        <f>IF('TM-28 Inputs'!I39 = "", CONCATENATE("Reported LM",  IF('TM-28 Inputs'!I19="","(Dk) (hours)",CONCATENATE("(",ROUND('TM-28 Inputs'!I19/1000,0),"k) (hours)"))),CONCATENATE("Reported L",'TM-28 Inputs'!I39, IF('TM-28 Inputs'!I19="","(Dk) (hours)",CONCATENATE("(",ROUND('TM-28 Inputs'!I19/1000,0),"k) (hours)"))))</f>
        <v>Reported LM(Dk) (hours)</v>
      </c>
      <c r="G22" s="127" t="str">
        <f>IF('Product Inputs'!J12="","-",'Product Inputs'!J12)</f>
        <v>-</v>
      </c>
      <c r="H22" s="105"/>
      <c r="I22" s="219" t="s">
        <v>66</v>
      </c>
      <c r="J22" s="130" t="str">
        <f>IF('TM-28 Projection'!L13="","-",'TM-28 Projection'!L13)</f>
        <v>-</v>
      </c>
      <c r="K22" s="104"/>
      <c r="L22" s="100"/>
    </row>
    <row r="23" spans="1:12" s="108" customFormat="1" ht="18.75" x14ac:dyDescent="0.25">
      <c r="A23" s="99"/>
      <c r="B23" s="104"/>
      <c r="C23" s="187"/>
      <c r="D23" s="187"/>
      <c r="E23" s="187"/>
      <c r="F23" s="187"/>
      <c r="G23" s="187"/>
      <c r="H23" s="187"/>
      <c r="I23" s="220" t="s">
        <v>67</v>
      </c>
      <c r="J23" s="138" t="str">
        <f>IF('TM-28 Projection'!L14="","-",'TM-28 Projection'!L14)</f>
        <v>-</v>
      </c>
      <c r="K23" s="104"/>
      <c r="L23" s="100"/>
    </row>
    <row r="24" spans="1:12" s="108" customFormat="1" ht="18.75" x14ac:dyDescent="0.25">
      <c r="A24" s="99"/>
      <c r="B24" s="104"/>
      <c r="C24" s="185"/>
      <c r="D24" s="185"/>
      <c r="E24" s="105"/>
      <c r="F24" s="185"/>
      <c r="G24" s="186"/>
      <c r="H24" s="105"/>
      <c r="I24" s="225" t="s">
        <v>68</v>
      </c>
      <c r="J24" s="139" t="str">
        <f>IF(OR(J13&lt;0,J17&lt;0),"-",IF('TM-28 Projection'!L15="","-",'TM-28 Projection'!L15))</f>
        <v>-</v>
      </c>
      <c r="K24" s="104"/>
      <c r="L24" s="100"/>
    </row>
    <row r="25" spans="1:12" s="108" customFormat="1" ht="28.5" customHeight="1" thickBot="1" x14ac:dyDescent="0.3">
      <c r="A25" s="99"/>
      <c r="B25" s="104"/>
      <c r="C25" s="272" t="str">
        <f>IF(OR(J13&lt;0,J17&lt;0),"One or more of the tests resulted in negative L70 values. Please refer to sections 5.1.5 of IES TM-28-14 for instructions on how to estimate the reported lumen maintenance life (L70).","")</f>
        <v/>
      </c>
      <c r="D25" s="272"/>
      <c r="E25" s="272"/>
      <c r="F25" s="272"/>
      <c r="G25" s="272"/>
      <c r="H25" s="272"/>
      <c r="I25" s="218" t="str">
        <f>IF('TM-28 Inputs'!I38="",IF('TM-28 Inputs'!I39 = "", CONCATENATE("Reported LM",  IF('TM-28 Inputs'!I19="","(Dk) (hours)",CONCATENATE("(",ROUND('TM-28 Inputs'!I19/1000,0),"k) (hours)"))),CONCATENATE("Reported L",'TM-28 Inputs'!I39, IF('TM-28 Inputs'!I19="","(Dk) (hours)",CONCATENATE("(",ROUND('TM-28 Inputs'!I19/1000,0),"k) (hours)")))), IF('TM-28 Inputs'!I39 = "", CONCATENATE("Reported LM",  IF('TM-28 Inputs'!I19="",  CONCATENATE( "(Dk) at ",   'TM-28 Inputs'!I38,"⁰C (hours)"  ),CONCATENATE("(",ROUND('TM-28 Inputs'!I19/1000,0),"k) at ", 'TM-28 Inputs'!I38,"⁰C (hours)")) ),CONCATENATE("Reported L",'TM-28 Inputs'!I39, IF('TM-28 Inputs'!I19="",CONCATENATE( "(Dk) at ",   'TM-28 Inputs'!I38,"⁰C (hours)"  ),CONCATENATE("(",ROUND('TM-28 Inputs'!I19/1000,0),"k) at ", 'TM-28 Inputs'!I38,"⁰C (hours)")))))</f>
        <v>Reported LM(Dk) (hours)</v>
      </c>
      <c r="J25" s="140" t="str">
        <f>IF('TM-28 Inputs'!I45="","-",'TM-28 Inputs'!I45)</f>
        <v>&gt;0</v>
      </c>
      <c r="K25" s="104"/>
      <c r="L25" s="100"/>
    </row>
    <row r="26" spans="1:12" ht="9" customHeight="1" x14ac:dyDescent="0.25">
      <c r="A26" s="99"/>
      <c r="B26" s="102"/>
      <c r="C26" s="102"/>
      <c r="D26" s="102"/>
      <c r="E26" s="102"/>
      <c r="F26" s="102"/>
      <c r="G26" s="102"/>
      <c r="H26" s="102"/>
      <c r="I26" s="102"/>
      <c r="J26" s="102"/>
      <c r="K26" s="102"/>
      <c r="L26" s="100"/>
    </row>
    <row r="27" spans="1:12" ht="11.25" customHeight="1" x14ac:dyDescent="0.25">
      <c r="A27" s="99"/>
      <c r="B27" s="99"/>
      <c r="C27" s="99"/>
      <c r="D27" s="99"/>
      <c r="E27" s="99"/>
      <c r="F27" s="99"/>
      <c r="G27" s="99"/>
      <c r="H27" s="99"/>
      <c r="I27" s="99"/>
      <c r="J27" s="99"/>
      <c r="K27" s="99"/>
      <c r="L27" s="99"/>
    </row>
    <row r="28" spans="1:12" ht="15.75" thickBot="1" x14ac:dyDescent="0.3">
      <c r="C28" s="109"/>
      <c r="G28" s="210"/>
      <c r="H28" s="210"/>
    </row>
    <row r="29" spans="1:12" ht="30.75" customHeight="1" thickBot="1" x14ac:dyDescent="0.3">
      <c r="D29" s="196" t="s">
        <v>73</v>
      </c>
      <c r="E29" s="197"/>
      <c r="F29" s="198"/>
      <c r="G29" s="211"/>
      <c r="H29" s="212"/>
      <c r="I29" s="201" t="s">
        <v>82</v>
      </c>
      <c r="J29" s="202"/>
      <c r="K29" s="202"/>
      <c r="L29" s="203"/>
    </row>
    <row r="30" spans="1:12" ht="31.5" customHeight="1" thickBot="1" x14ac:dyDescent="0.3">
      <c r="D30" s="196" t="s">
        <v>74</v>
      </c>
      <c r="E30" s="197"/>
      <c r="F30" s="198"/>
      <c r="G30" s="211"/>
      <c r="H30" s="212"/>
      <c r="I30" s="204"/>
      <c r="J30" s="205"/>
      <c r="K30" s="205"/>
      <c r="L30" s="206"/>
    </row>
    <row r="31" spans="1:12" ht="15.75" thickBot="1" x14ac:dyDescent="0.3">
      <c r="D31" s="199" t="s">
        <v>75</v>
      </c>
      <c r="E31" s="200"/>
      <c r="F31" s="198"/>
      <c r="G31" s="211"/>
      <c r="H31" s="212"/>
      <c r="I31" s="207"/>
      <c r="J31" s="208"/>
      <c r="K31" s="208"/>
      <c r="L31" s="209"/>
    </row>
  </sheetData>
  <sheetProtection algorithmName="SHA-512" hashValue="Sz7ifmEaqHJedOogFDETWpRQpebxGwReHR1QPxYG9dm/t6y5zgzJTQX5Q9bTkziLbuOvD6HiDzrE306pIAkx7g==" saltValue="pi7lRvecaO4ftoxAsdXMMw==" spinCount="100000" sheet="1" objects="1" scenarios="1"/>
  <mergeCells count="9">
    <mergeCell ref="C25:H25"/>
    <mergeCell ref="F10:G12"/>
    <mergeCell ref="C9:G9"/>
    <mergeCell ref="B2:K6"/>
    <mergeCell ref="I9:J9"/>
    <mergeCell ref="I10:J10"/>
    <mergeCell ref="C13:D13"/>
    <mergeCell ref="F13:G13"/>
    <mergeCell ref="C10:E12"/>
  </mergeCells>
  <pageMargins left="0.7" right="0.7" top="0.75" bottom="0.75" header="0.3" footer="0.3"/>
  <pageSetup scale="6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
  <sheetViews>
    <sheetView workbookViewId="0">
      <selection activeCell="M20" sqref="M20"/>
    </sheetView>
  </sheetViews>
  <sheetFormatPr defaultRowHeight="15" x14ac:dyDescent="0.25"/>
  <sheetData/>
  <sheetProtection password="C696"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C3:M34"/>
  <sheetViews>
    <sheetView workbookViewId="0">
      <selection activeCell="F7" sqref="F7"/>
    </sheetView>
  </sheetViews>
  <sheetFormatPr defaultRowHeight="15" x14ac:dyDescent="0.25"/>
  <cols>
    <col min="1" max="1" width="17" style="1" customWidth="1"/>
    <col min="2" max="2" width="9.140625" style="1"/>
    <col min="3" max="3" width="8.7109375" style="1" customWidth="1"/>
    <col min="4" max="4" width="10.42578125" style="1" customWidth="1"/>
    <col min="5" max="5" width="12.85546875" style="1" bestFit="1" customWidth="1"/>
    <col min="6" max="6" width="17.85546875" style="1" customWidth="1"/>
    <col min="7" max="7" width="27.5703125" style="1" customWidth="1"/>
    <col min="8" max="8" width="12.5703125" style="1" bestFit="1" customWidth="1"/>
    <col min="9" max="9" width="11.140625" style="1" bestFit="1" customWidth="1"/>
    <col min="10" max="11" width="9.140625" style="1"/>
    <col min="12" max="12" width="20.5703125" style="1" bestFit="1" customWidth="1"/>
    <col min="13" max="16384" width="9.140625" style="1"/>
  </cols>
  <sheetData>
    <row r="3" spans="3:13" ht="15.75" thickBot="1" x14ac:dyDescent="0.3"/>
    <row r="4" spans="3:13" ht="15" customHeight="1" x14ac:dyDescent="0.25">
      <c r="C4" s="298" t="str">
        <f>IF('TM-28 Inputs'!I21="","Insert Ambient Temperature 1",CONCATENATE("Test Data for ",'TM-28 Inputs'!I21,"⁰C Ambient Temperature"))</f>
        <v>Insert Ambient Temperature 1</v>
      </c>
      <c r="D4" s="300"/>
      <c r="E4" s="300"/>
      <c r="F4" s="300"/>
      <c r="G4" s="300"/>
      <c r="H4" s="300"/>
      <c r="I4" s="300"/>
      <c r="J4" s="299"/>
    </row>
    <row r="5" spans="3:13" ht="60" customHeight="1" x14ac:dyDescent="0.25">
      <c r="C5" s="181" t="s">
        <v>84</v>
      </c>
      <c r="D5" s="28" t="s">
        <v>83</v>
      </c>
      <c r="E5" s="29" t="s">
        <v>3</v>
      </c>
      <c r="F5" s="30" t="s">
        <v>4</v>
      </c>
      <c r="G5" s="30" t="s">
        <v>7</v>
      </c>
      <c r="H5" s="30" t="s">
        <v>5</v>
      </c>
      <c r="I5" s="30" t="s">
        <v>6</v>
      </c>
      <c r="J5" s="31" t="s">
        <v>1</v>
      </c>
    </row>
    <row r="6" spans="3:13" x14ac:dyDescent="0.25">
      <c r="C6" s="179" t="str">
        <f>"-"</f>
        <v>-</v>
      </c>
      <c r="D6" s="179" t="str">
        <f>"-"</f>
        <v>-</v>
      </c>
      <c r="E6" s="7" t="str">
        <f>IF(OR('TM-28 Inputs'!$I$19="",'TM-28 Inputs'!$I$21=""),"-",IF(OR('TM-28 Inputs'!K10="",'TM-28 Inputs'!L10=""),"",IF(OR(AND('TM-28 Inputs'!$I$19&gt;=5952,'TM-28 Inputs'!$I$19&lt;=10000,'TM-28 Inputs'!K10&gt;='TM-28 Inputs'!$I$19-5096),AND('TM-28 Inputs'!$I$19&gt;10000,OR('TM-28 Inputs'!K10&gt;=0.5*'TM-28 Inputs'!$I$19,'TM-28 Inputs'!K10=SMALL('TM-28 Inputs'!$K$10:$K$33,COUNTIF('TM-28 Inputs'!$K$10:$K$33,"&lt;"&amp;(0.5*'TM-28 Inputs'!$I$19)+1))))),'TM-28 Inputs'!K10,"")))</f>
        <v>-</v>
      </c>
      <c r="F6" s="2">
        <f>IF(E6="","",'TM-28 Inputs'!L10)</f>
        <v>0</v>
      </c>
      <c r="G6" s="8" t="e">
        <f>IF(F6="","",LN(F6))</f>
        <v>#NUM!</v>
      </c>
      <c r="H6" s="11" t="e">
        <f>IF(E6="","",(G6*E6))</f>
        <v>#NUM!</v>
      </c>
      <c r="I6" s="14" t="e">
        <f>IF(E6="","",E6^2)</f>
        <v>#VALUE!</v>
      </c>
      <c r="J6" s="15" t="e">
        <f>IF(E6="","",E6*G6)</f>
        <v>#VALUE!</v>
      </c>
      <c r="M6" s="98"/>
    </row>
    <row r="7" spans="3:13" x14ac:dyDescent="0.25">
      <c r="C7" s="180" t="str">
        <f>"-"</f>
        <v>-</v>
      </c>
      <c r="D7" s="5" t="e">
        <f t="shared" ref="D7:D25" si="0">IF(OR(E6="",E7=""),"",E7-E6)</f>
        <v>#VALUE!</v>
      </c>
      <c r="E7" s="7" t="str">
        <f>IF(OR('TM-28 Inputs'!$I$19="",'TM-28 Inputs'!$I$21=""),"-",IF(OR('TM-28 Inputs'!K11="",'TM-28 Inputs'!L11=""),"",IF(OR(AND('TM-28 Inputs'!$I$19&gt;=5952,'TM-28 Inputs'!$I$19&lt;=10000,'TM-28 Inputs'!K11&gt;='TM-28 Inputs'!$I$19-5096),AND('TM-28 Inputs'!$I$19&gt;10000,OR('TM-28 Inputs'!K11&gt;=0.5*'TM-28 Inputs'!$I$19,'TM-28 Inputs'!K11=SMALL('TM-28 Inputs'!$K$10:$K$33,COUNTIF('TM-28 Inputs'!$K$10:$K$33,"&lt;"&amp;(0.5*'TM-28 Inputs'!$I$19)+1))))),'TM-28 Inputs'!K11,"")))</f>
        <v>-</v>
      </c>
      <c r="F7" s="3">
        <f>IF(E7="","",'TM-28 Inputs'!L11)</f>
        <v>0</v>
      </c>
      <c r="G7" s="9" t="e">
        <f t="shared" ref="G7:G25" si="1">IF(F7="","",LN(F7))</f>
        <v>#NUM!</v>
      </c>
      <c r="H7" s="12" t="e">
        <f t="shared" ref="H7:H25" si="2">IF(E7="","",(G7*E7))</f>
        <v>#NUM!</v>
      </c>
      <c r="I7" s="16" t="e">
        <f t="shared" ref="I7:I25" si="3">IF(E7="","",E7^2)</f>
        <v>#VALUE!</v>
      </c>
      <c r="J7" s="17" t="e">
        <f t="shared" ref="J7:J25" si="4">IF(E7="","",E7*G7)</f>
        <v>#VALUE!</v>
      </c>
    </row>
    <row r="8" spans="3:13" x14ac:dyDescent="0.25">
      <c r="C8" s="5" t="e">
        <f>IF(OR(D7="",D8=""),"",ABS(D8-D7))</f>
        <v>#VALUE!</v>
      </c>
      <c r="D8" s="5" t="e">
        <f t="shared" si="0"/>
        <v>#VALUE!</v>
      </c>
      <c r="E8" s="7" t="str">
        <f>IF(OR('TM-28 Inputs'!$I$19="",'TM-28 Inputs'!$I$21=""),"-",IF(OR('TM-28 Inputs'!K12="",'TM-28 Inputs'!L12=""),"",IF(OR(AND('TM-28 Inputs'!$I$19&gt;=5952,'TM-28 Inputs'!$I$19&lt;=10000,'TM-28 Inputs'!K12&gt;='TM-28 Inputs'!$I$19-5096),AND('TM-28 Inputs'!$I$19&gt;10000,OR('TM-28 Inputs'!K12&gt;=0.5*'TM-28 Inputs'!$I$19,'TM-28 Inputs'!K12=SMALL('TM-28 Inputs'!$K$10:$K$33,COUNTIF('TM-28 Inputs'!$K$10:$K$33,"&lt;"&amp;(0.5*'TM-28 Inputs'!$I$19)+1))))),'TM-28 Inputs'!K12,"")))</f>
        <v>-</v>
      </c>
      <c r="F8" s="3">
        <f>IF(E8="","",'TM-28 Inputs'!L12)</f>
        <v>0</v>
      </c>
      <c r="G8" s="9" t="e">
        <f t="shared" si="1"/>
        <v>#NUM!</v>
      </c>
      <c r="H8" s="12" t="e">
        <f t="shared" si="2"/>
        <v>#NUM!</v>
      </c>
      <c r="I8" s="16" t="e">
        <f t="shared" si="3"/>
        <v>#VALUE!</v>
      </c>
      <c r="J8" s="17" t="e">
        <f t="shared" si="4"/>
        <v>#VALUE!</v>
      </c>
    </row>
    <row r="9" spans="3:13" x14ac:dyDescent="0.25">
      <c r="C9" s="5" t="e">
        <f t="shared" ref="C9:C25" si="5">IF(OR(D8="",D9=""),"",ABS(D9-D8))</f>
        <v>#VALUE!</v>
      </c>
      <c r="D9" s="5" t="e">
        <f t="shared" si="0"/>
        <v>#VALUE!</v>
      </c>
      <c r="E9" s="7" t="str">
        <f>IF(OR('TM-28 Inputs'!$I$19="",'TM-28 Inputs'!$I$21=""),"-",IF(OR('TM-28 Inputs'!K13="",'TM-28 Inputs'!L13=""),"",IF(OR(AND('TM-28 Inputs'!$I$19&gt;=5952,'TM-28 Inputs'!$I$19&lt;=10000,'TM-28 Inputs'!K13&gt;='TM-28 Inputs'!$I$19-5096),AND('TM-28 Inputs'!$I$19&gt;10000,OR('TM-28 Inputs'!K13&gt;=0.5*'TM-28 Inputs'!$I$19,'TM-28 Inputs'!K13=SMALL('TM-28 Inputs'!$K$10:$K$33,COUNTIF('TM-28 Inputs'!$K$10:$K$33,"&lt;"&amp;(0.5*'TM-28 Inputs'!$I$19)+1))))),'TM-28 Inputs'!K13,"")))</f>
        <v>-</v>
      </c>
      <c r="F9" s="3">
        <f>IF(E9="","",'TM-28 Inputs'!L13)</f>
        <v>0</v>
      </c>
      <c r="G9" s="9" t="e">
        <f t="shared" si="1"/>
        <v>#NUM!</v>
      </c>
      <c r="H9" s="12" t="e">
        <f t="shared" si="2"/>
        <v>#NUM!</v>
      </c>
      <c r="I9" s="16" t="e">
        <f t="shared" si="3"/>
        <v>#VALUE!</v>
      </c>
      <c r="J9" s="17" t="e">
        <f t="shared" si="4"/>
        <v>#VALUE!</v>
      </c>
    </row>
    <row r="10" spans="3:13" x14ac:dyDescent="0.25">
      <c r="C10" s="5" t="e">
        <f t="shared" si="5"/>
        <v>#VALUE!</v>
      </c>
      <c r="D10" s="5" t="e">
        <f t="shared" si="0"/>
        <v>#VALUE!</v>
      </c>
      <c r="E10" s="7" t="str">
        <f>IF(OR('TM-28 Inputs'!$I$19="",'TM-28 Inputs'!$I$21=""),"-",IF(OR('TM-28 Inputs'!K14="",'TM-28 Inputs'!L14=""),"",IF(OR(AND('TM-28 Inputs'!$I$19&gt;=5952,'TM-28 Inputs'!$I$19&lt;=10000,'TM-28 Inputs'!K14&gt;='TM-28 Inputs'!$I$19-5096),AND('TM-28 Inputs'!$I$19&gt;10000,OR('TM-28 Inputs'!K14&gt;=0.5*'TM-28 Inputs'!$I$19,'TM-28 Inputs'!K14=SMALL('TM-28 Inputs'!$K$10:$K$33,COUNTIF('TM-28 Inputs'!$K$10:$K$33,"&lt;"&amp;(0.5*'TM-28 Inputs'!$I$19)+1))))),'TM-28 Inputs'!K14,"")))</f>
        <v>-</v>
      </c>
      <c r="F10" s="3">
        <f>IF(E10="","",'TM-28 Inputs'!L14)</f>
        <v>0</v>
      </c>
      <c r="G10" s="9" t="e">
        <f t="shared" si="1"/>
        <v>#NUM!</v>
      </c>
      <c r="H10" s="12" t="e">
        <f t="shared" si="2"/>
        <v>#NUM!</v>
      </c>
      <c r="I10" s="16" t="e">
        <f t="shared" si="3"/>
        <v>#VALUE!</v>
      </c>
      <c r="J10" s="17" t="e">
        <f t="shared" si="4"/>
        <v>#VALUE!</v>
      </c>
    </row>
    <row r="11" spans="3:13" x14ac:dyDescent="0.25">
      <c r="C11" s="5" t="e">
        <f t="shared" si="5"/>
        <v>#VALUE!</v>
      </c>
      <c r="D11" s="5" t="e">
        <f t="shared" si="0"/>
        <v>#VALUE!</v>
      </c>
      <c r="E11" s="7" t="str">
        <f>IF(OR('TM-28 Inputs'!$I$19="",'TM-28 Inputs'!$I$21=""),"-",IF(OR('TM-28 Inputs'!K15="",'TM-28 Inputs'!L15=""),"",IF(OR(AND('TM-28 Inputs'!$I$19&gt;=5952,'TM-28 Inputs'!$I$19&lt;=10000,'TM-28 Inputs'!K15&gt;='TM-28 Inputs'!$I$19-5096),AND('TM-28 Inputs'!$I$19&gt;10000,OR('TM-28 Inputs'!K15&gt;=0.5*'TM-28 Inputs'!$I$19,'TM-28 Inputs'!K15=SMALL('TM-28 Inputs'!$K$10:$K$33,COUNTIF('TM-28 Inputs'!$K$10:$K$33,"&lt;"&amp;(0.5*'TM-28 Inputs'!$I$19)+1))))),'TM-28 Inputs'!K15,"")))</f>
        <v>-</v>
      </c>
      <c r="F11" s="3">
        <f>IF(E11="","",'TM-28 Inputs'!L15)</f>
        <v>0</v>
      </c>
      <c r="G11" s="9" t="e">
        <f t="shared" si="1"/>
        <v>#NUM!</v>
      </c>
      <c r="H11" s="12" t="e">
        <f t="shared" si="2"/>
        <v>#NUM!</v>
      </c>
      <c r="I11" s="16" t="e">
        <f t="shared" si="3"/>
        <v>#VALUE!</v>
      </c>
      <c r="J11" s="17" t="e">
        <f t="shared" si="4"/>
        <v>#VALUE!</v>
      </c>
    </row>
    <row r="12" spans="3:13" x14ac:dyDescent="0.25">
      <c r="C12" s="5" t="e">
        <f t="shared" si="5"/>
        <v>#VALUE!</v>
      </c>
      <c r="D12" s="5" t="e">
        <f t="shared" si="0"/>
        <v>#VALUE!</v>
      </c>
      <c r="E12" s="7" t="str">
        <f>IF(OR('TM-28 Inputs'!$I$19="",'TM-28 Inputs'!$I$21=""),"-",IF(OR('TM-28 Inputs'!K16="",'TM-28 Inputs'!L16=""),"",IF(OR(AND('TM-28 Inputs'!$I$19&gt;=5952,'TM-28 Inputs'!$I$19&lt;=10000,'TM-28 Inputs'!K16&gt;='TM-28 Inputs'!$I$19-5096),AND('TM-28 Inputs'!$I$19&gt;10000,OR('TM-28 Inputs'!K16&gt;=0.5*'TM-28 Inputs'!$I$19,'TM-28 Inputs'!K16=SMALL('TM-28 Inputs'!$K$10:$K$33,COUNTIF('TM-28 Inputs'!$K$10:$K$33,"&lt;"&amp;(0.5*'TM-28 Inputs'!$I$19)+1))))),'TM-28 Inputs'!K16,"")))</f>
        <v>-</v>
      </c>
      <c r="F12" s="3">
        <f>IF(E12="","",'TM-28 Inputs'!L16)</f>
        <v>0</v>
      </c>
      <c r="G12" s="9" t="e">
        <f t="shared" si="1"/>
        <v>#NUM!</v>
      </c>
      <c r="H12" s="12" t="e">
        <f t="shared" si="2"/>
        <v>#NUM!</v>
      </c>
      <c r="I12" s="16" t="e">
        <f t="shared" si="3"/>
        <v>#VALUE!</v>
      </c>
      <c r="J12" s="17" t="e">
        <f t="shared" si="4"/>
        <v>#VALUE!</v>
      </c>
    </row>
    <row r="13" spans="3:13" x14ac:dyDescent="0.25">
      <c r="C13" s="5" t="e">
        <f t="shared" si="5"/>
        <v>#VALUE!</v>
      </c>
      <c r="D13" s="5" t="e">
        <f t="shared" si="0"/>
        <v>#VALUE!</v>
      </c>
      <c r="E13" s="7" t="str">
        <f>IF(OR('TM-28 Inputs'!$I$19="",'TM-28 Inputs'!$I$21=""),"-",IF(OR('TM-28 Inputs'!K17="",'TM-28 Inputs'!L17=""),"",IF(OR(AND('TM-28 Inputs'!$I$19&gt;=5952,'TM-28 Inputs'!$I$19&lt;=10000,'TM-28 Inputs'!K17&gt;='TM-28 Inputs'!$I$19-5096),AND('TM-28 Inputs'!$I$19&gt;10000,OR('TM-28 Inputs'!K17&gt;=0.5*'TM-28 Inputs'!$I$19,'TM-28 Inputs'!K17=SMALL('TM-28 Inputs'!$K$10:$K$33,COUNTIF('TM-28 Inputs'!$K$10:$K$33,"&lt;"&amp;(0.5*'TM-28 Inputs'!$I$19)+1))))),'TM-28 Inputs'!K17,"")))</f>
        <v>-</v>
      </c>
      <c r="F13" s="3">
        <f>IF(E13="","",'TM-28 Inputs'!L17)</f>
        <v>0</v>
      </c>
      <c r="G13" s="9" t="e">
        <f t="shared" si="1"/>
        <v>#NUM!</v>
      </c>
      <c r="H13" s="12" t="e">
        <f t="shared" si="2"/>
        <v>#NUM!</v>
      </c>
      <c r="I13" s="16" t="e">
        <f t="shared" si="3"/>
        <v>#VALUE!</v>
      </c>
      <c r="J13" s="17" t="e">
        <f t="shared" si="4"/>
        <v>#VALUE!</v>
      </c>
    </row>
    <row r="14" spans="3:13" x14ac:dyDescent="0.25">
      <c r="C14" s="5" t="e">
        <f t="shared" si="5"/>
        <v>#VALUE!</v>
      </c>
      <c r="D14" s="5" t="e">
        <f t="shared" si="0"/>
        <v>#VALUE!</v>
      </c>
      <c r="E14" s="7" t="str">
        <f>IF(OR('TM-28 Inputs'!$I$19="",'TM-28 Inputs'!$I$21=""),"-",IF(OR('TM-28 Inputs'!K18="",'TM-28 Inputs'!L18=""),"",IF(OR(AND('TM-28 Inputs'!$I$19&gt;=5952,'TM-28 Inputs'!$I$19&lt;=10000,'TM-28 Inputs'!K18&gt;='TM-28 Inputs'!$I$19-5096),AND('TM-28 Inputs'!$I$19&gt;10000,OR('TM-28 Inputs'!K18&gt;=0.5*'TM-28 Inputs'!$I$19,'TM-28 Inputs'!K18=SMALL('TM-28 Inputs'!$K$10:$K$33,COUNTIF('TM-28 Inputs'!$K$10:$K$33,"&lt;"&amp;(0.5*'TM-28 Inputs'!$I$19)+1))))),'TM-28 Inputs'!K18,"")))</f>
        <v>-</v>
      </c>
      <c r="F14" s="3">
        <f>IF(E14="","",'TM-28 Inputs'!L18)</f>
        <v>0</v>
      </c>
      <c r="G14" s="9" t="e">
        <f t="shared" si="1"/>
        <v>#NUM!</v>
      </c>
      <c r="H14" s="12" t="e">
        <f t="shared" si="2"/>
        <v>#NUM!</v>
      </c>
      <c r="I14" s="16" t="e">
        <f t="shared" si="3"/>
        <v>#VALUE!</v>
      </c>
      <c r="J14" s="17" t="e">
        <f t="shared" si="4"/>
        <v>#VALUE!</v>
      </c>
    </row>
    <row r="15" spans="3:13" x14ac:dyDescent="0.25">
      <c r="C15" s="5" t="e">
        <f t="shared" si="5"/>
        <v>#VALUE!</v>
      </c>
      <c r="D15" s="5" t="e">
        <f t="shared" si="0"/>
        <v>#VALUE!</v>
      </c>
      <c r="E15" s="7" t="str">
        <f>IF(OR('TM-28 Inputs'!$I$19="",'TM-28 Inputs'!$I$21=""),"-",IF(OR('TM-28 Inputs'!K19="",'TM-28 Inputs'!L19=""),"",IF(OR(AND('TM-28 Inputs'!$I$19&gt;=5952,'TM-28 Inputs'!$I$19&lt;=10000,'TM-28 Inputs'!K19&gt;='TM-28 Inputs'!$I$19-5096),AND('TM-28 Inputs'!$I$19&gt;10000,OR('TM-28 Inputs'!K19&gt;=0.5*'TM-28 Inputs'!$I$19,'TM-28 Inputs'!K19=SMALL('TM-28 Inputs'!$K$10:$K$33,COUNTIF('TM-28 Inputs'!$K$10:$K$33,"&lt;"&amp;(0.5*'TM-28 Inputs'!$I$19)+1))))),'TM-28 Inputs'!K19,"")))</f>
        <v>-</v>
      </c>
      <c r="F15" s="3">
        <f>IF(E15="","",'TM-28 Inputs'!L19)</f>
        <v>0</v>
      </c>
      <c r="G15" s="9" t="e">
        <f t="shared" si="1"/>
        <v>#NUM!</v>
      </c>
      <c r="H15" s="12" t="e">
        <f t="shared" si="2"/>
        <v>#NUM!</v>
      </c>
      <c r="I15" s="16" t="e">
        <f t="shared" si="3"/>
        <v>#VALUE!</v>
      </c>
      <c r="J15" s="17" t="e">
        <f t="shared" si="4"/>
        <v>#VALUE!</v>
      </c>
    </row>
    <row r="16" spans="3:13" x14ac:dyDescent="0.25">
      <c r="C16" s="5" t="e">
        <f t="shared" si="5"/>
        <v>#VALUE!</v>
      </c>
      <c r="D16" s="5" t="e">
        <f t="shared" si="0"/>
        <v>#VALUE!</v>
      </c>
      <c r="E16" s="7" t="str">
        <f>IF(OR('TM-28 Inputs'!$I$19="",'TM-28 Inputs'!$I$21=""),"-",IF(OR('TM-28 Inputs'!K20="",'TM-28 Inputs'!L20=""),"",IF(OR(AND('TM-28 Inputs'!$I$19&gt;=5952,'TM-28 Inputs'!$I$19&lt;=10000,'TM-28 Inputs'!K20&gt;='TM-28 Inputs'!$I$19-5096),AND('TM-28 Inputs'!$I$19&gt;10000,OR('TM-28 Inputs'!K20&gt;=0.5*'TM-28 Inputs'!$I$19,'TM-28 Inputs'!K20=SMALL('TM-28 Inputs'!$K$10:$K$33,COUNTIF('TM-28 Inputs'!$K$10:$K$33,"&lt;"&amp;(0.5*'TM-28 Inputs'!$I$19)+1))))),'TM-28 Inputs'!K20,"")))</f>
        <v>-</v>
      </c>
      <c r="F16" s="3">
        <f>IF(E16="","",'TM-28 Inputs'!L20)</f>
        <v>0</v>
      </c>
      <c r="G16" s="9" t="e">
        <f t="shared" si="1"/>
        <v>#NUM!</v>
      </c>
      <c r="H16" s="12" t="e">
        <f t="shared" si="2"/>
        <v>#NUM!</v>
      </c>
      <c r="I16" s="16" t="e">
        <f t="shared" si="3"/>
        <v>#VALUE!</v>
      </c>
      <c r="J16" s="17" t="e">
        <f t="shared" si="4"/>
        <v>#VALUE!</v>
      </c>
    </row>
    <row r="17" spans="3:10" x14ac:dyDescent="0.25">
      <c r="C17" s="5" t="e">
        <f t="shared" si="5"/>
        <v>#VALUE!</v>
      </c>
      <c r="D17" s="5" t="e">
        <f t="shared" si="0"/>
        <v>#VALUE!</v>
      </c>
      <c r="E17" s="7" t="str">
        <f>IF(OR('TM-28 Inputs'!$I$19="",'TM-28 Inputs'!$I$21=""),"-",IF(OR('TM-28 Inputs'!K21="",'TM-28 Inputs'!L21=""),"",IF(OR(AND('TM-28 Inputs'!$I$19&gt;=5952,'TM-28 Inputs'!$I$19&lt;=10000,'TM-28 Inputs'!K21&gt;='TM-28 Inputs'!$I$19-5096),AND('TM-28 Inputs'!$I$19&gt;10000,OR('TM-28 Inputs'!K21&gt;=0.5*'TM-28 Inputs'!$I$19,'TM-28 Inputs'!K21=SMALL('TM-28 Inputs'!$K$10:$K$33,COUNTIF('TM-28 Inputs'!$K$10:$K$33,"&lt;"&amp;(0.5*'TM-28 Inputs'!$I$19)+1))))),'TM-28 Inputs'!K21,"")))</f>
        <v>-</v>
      </c>
      <c r="F17" s="3">
        <f>IF(E17="","",'TM-28 Inputs'!L21)</f>
        <v>0</v>
      </c>
      <c r="G17" s="9" t="e">
        <f t="shared" si="1"/>
        <v>#NUM!</v>
      </c>
      <c r="H17" s="12" t="e">
        <f t="shared" si="2"/>
        <v>#NUM!</v>
      </c>
      <c r="I17" s="16" t="e">
        <f t="shared" si="3"/>
        <v>#VALUE!</v>
      </c>
      <c r="J17" s="17" t="e">
        <f t="shared" si="4"/>
        <v>#VALUE!</v>
      </c>
    </row>
    <row r="18" spans="3:10" x14ac:dyDescent="0.25">
      <c r="C18" s="5" t="e">
        <f t="shared" si="5"/>
        <v>#VALUE!</v>
      </c>
      <c r="D18" s="5" t="e">
        <f t="shared" si="0"/>
        <v>#VALUE!</v>
      </c>
      <c r="E18" s="7" t="str">
        <f>IF(OR('TM-28 Inputs'!$I$19="",'TM-28 Inputs'!$I$21=""),"-",IF(OR('TM-28 Inputs'!K22="",'TM-28 Inputs'!L22=""),"",IF(OR(AND('TM-28 Inputs'!$I$19&gt;=5952,'TM-28 Inputs'!$I$19&lt;=10000,'TM-28 Inputs'!K22&gt;='TM-28 Inputs'!$I$19-5096),AND('TM-28 Inputs'!$I$19&gt;10000,OR('TM-28 Inputs'!K22&gt;=0.5*'TM-28 Inputs'!$I$19,'TM-28 Inputs'!K22=SMALL('TM-28 Inputs'!$K$10:$K$33,COUNTIF('TM-28 Inputs'!$K$10:$K$33,"&lt;"&amp;(0.5*'TM-28 Inputs'!$I$19)+1))))),'TM-28 Inputs'!K22,"")))</f>
        <v>-</v>
      </c>
      <c r="F18" s="3">
        <f>IF(E18="","",'TM-28 Inputs'!L22)</f>
        <v>0</v>
      </c>
      <c r="G18" s="9" t="e">
        <f t="shared" si="1"/>
        <v>#NUM!</v>
      </c>
      <c r="H18" s="12" t="e">
        <f t="shared" si="2"/>
        <v>#NUM!</v>
      </c>
      <c r="I18" s="16" t="e">
        <f t="shared" si="3"/>
        <v>#VALUE!</v>
      </c>
      <c r="J18" s="17" t="e">
        <f t="shared" si="4"/>
        <v>#VALUE!</v>
      </c>
    </row>
    <row r="19" spans="3:10" x14ac:dyDescent="0.25">
      <c r="C19" s="5" t="e">
        <f t="shared" si="5"/>
        <v>#VALUE!</v>
      </c>
      <c r="D19" s="5" t="e">
        <f t="shared" si="0"/>
        <v>#VALUE!</v>
      </c>
      <c r="E19" s="7" t="str">
        <f>IF(OR('TM-28 Inputs'!$I$19="",'TM-28 Inputs'!$I$21=""),"-",IF(OR('TM-28 Inputs'!K23="",'TM-28 Inputs'!L23=""),"",IF(OR(AND('TM-28 Inputs'!$I$19&gt;=5952,'TM-28 Inputs'!$I$19&lt;=10000,'TM-28 Inputs'!K23&gt;='TM-28 Inputs'!$I$19-5096),AND('TM-28 Inputs'!$I$19&gt;10000,OR('TM-28 Inputs'!K23&gt;=0.5*'TM-28 Inputs'!$I$19,'TM-28 Inputs'!K23=SMALL('TM-28 Inputs'!$K$10:$K$33,COUNTIF('TM-28 Inputs'!$K$10:$K$33,"&lt;"&amp;(0.5*'TM-28 Inputs'!$I$19)+1))))),'TM-28 Inputs'!K23,"")))</f>
        <v>-</v>
      </c>
      <c r="F19" s="3">
        <f>IF(E19="","",'TM-28 Inputs'!L23)</f>
        <v>0</v>
      </c>
      <c r="G19" s="9" t="e">
        <f t="shared" si="1"/>
        <v>#NUM!</v>
      </c>
      <c r="H19" s="12" t="e">
        <f t="shared" si="2"/>
        <v>#NUM!</v>
      </c>
      <c r="I19" s="16" t="e">
        <f t="shared" si="3"/>
        <v>#VALUE!</v>
      </c>
      <c r="J19" s="17" t="e">
        <f t="shared" si="4"/>
        <v>#VALUE!</v>
      </c>
    </row>
    <row r="20" spans="3:10" x14ac:dyDescent="0.25">
      <c r="C20" s="5" t="e">
        <f t="shared" si="5"/>
        <v>#VALUE!</v>
      </c>
      <c r="D20" s="5" t="e">
        <f t="shared" si="0"/>
        <v>#VALUE!</v>
      </c>
      <c r="E20" s="7" t="str">
        <f>IF(OR('TM-28 Inputs'!$I$19="",'TM-28 Inputs'!$I$21=""),"-",IF(OR('TM-28 Inputs'!K28="",'TM-28 Inputs'!L28=""),"",IF(OR(AND('TM-28 Inputs'!$I$19&gt;=5952,'TM-28 Inputs'!$I$19&lt;=10000,'TM-28 Inputs'!K28&gt;='TM-28 Inputs'!$I$19-5096),AND('TM-28 Inputs'!$I$19&gt;10000,OR('TM-28 Inputs'!K28&gt;=0.5*'TM-28 Inputs'!$I$19,'TM-28 Inputs'!K28=SMALL('TM-28 Inputs'!$K$10:$K$33,COUNTIF('TM-28 Inputs'!$K$10:$K$33,"&lt;"&amp;(0.5*'TM-28 Inputs'!$I$19)+1))))),'TM-28 Inputs'!K28,"")))</f>
        <v>-</v>
      </c>
      <c r="F20" s="3">
        <f>IF(E20="","",'TM-28 Inputs'!L28)</f>
        <v>0</v>
      </c>
      <c r="G20" s="9" t="e">
        <f t="shared" si="1"/>
        <v>#NUM!</v>
      </c>
      <c r="H20" s="12" t="e">
        <f t="shared" si="2"/>
        <v>#NUM!</v>
      </c>
      <c r="I20" s="16" t="e">
        <f t="shared" si="3"/>
        <v>#VALUE!</v>
      </c>
      <c r="J20" s="17" t="e">
        <f t="shared" si="4"/>
        <v>#VALUE!</v>
      </c>
    </row>
    <row r="21" spans="3:10" x14ac:dyDescent="0.25">
      <c r="C21" s="5" t="e">
        <f t="shared" si="5"/>
        <v>#VALUE!</v>
      </c>
      <c r="D21" s="5" t="e">
        <f t="shared" si="0"/>
        <v>#VALUE!</v>
      </c>
      <c r="E21" s="7" t="str">
        <f>IF(OR('TM-28 Inputs'!$I$19="",'TM-28 Inputs'!$I$21=""),"-",IF(OR('TM-28 Inputs'!K29="",'TM-28 Inputs'!L29=""),"",IF(OR(AND('TM-28 Inputs'!$I$19&gt;=5952,'TM-28 Inputs'!$I$19&lt;=10000,'TM-28 Inputs'!K29&gt;='TM-28 Inputs'!$I$19-5096),AND('TM-28 Inputs'!$I$19&gt;10000,OR('TM-28 Inputs'!K29&gt;=0.5*'TM-28 Inputs'!$I$19,'TM-28 Inputs'!K29=SMALL('TM-28 Inputs'!$K$10:$K$33,COUNTIF('TM-28 Inputs'!$K$10:$K$33,"&lt;"&amp;(0.5*'TM-28 Inputs'!$I$19)+1))))),'TM-28 Inputs'!K29,"")))</f>
        <v>-</v>
      </c>
      <c r="F21" s="3">
        <f>IF(E21="","",'TM-28 Inputs'!L29)</f>
        <v>0</v>
      </c>
      <c r="G21" s="9" t="e">
        <f t="shared" si="1"/>
        <v>#NUM!</v>
      </c>
      <c r="H21" s="12" t="e">
        <f t="shared" si="2"/>
        <v>#NUM!</v>
      </c>
      <c r="I21" s="16" t="e">
        <f t="shared" si="3"/>
        <v>#VALUE!</v>
      </c>
      <c r="J21" s="17" t="e">
        <f t="shared" si="4"/>
        <v>#VALUE!</v>
      </c>
    </row>
    <row r="22" spans="3:10" x14ac:dyDescent="0.25">
      <c r="C22" s="5" t="e">
        <f t="shared" si="5"/>
        <v>#VALUE!</v>
      </c>
      <c r="D22" s="5" t="e">
        <f t="shared" si="0"/>
        <v>#VALUE!</v>
      </c>
      <c r="E22" s="7" t="str">
        <f>IF(OR('TM-28 Inputs'!$I$19="",'TM-28 Inputs'!$I$21=""),"-",IF(OR('TM-28 Inputs'!K30="",'TM-28 Inputs'!L30=""),"",IF(OR(AND('TM-28 Inputs'!$I$19&gt;=5952,'TM-28 Inputs'!$I$19&lt;=10000,'TM-28 Inputs'!K30&gt;='TM-28 Inputs'!$I$19-5096),AND('TM-28 Inputs'!$I$19&gt;10000,OR('TM-28 Inputs'!K30&gt;=0.5*'TM-28 Inputs'!$I$19,'TM-28 Inputs'!K30=SMALL('TM-28 Inputs'!$K$10:$K$33,COUNTIF('TM-28 Inputs'!$K$10:$K$33,"&lt;"&amp;(0.5*'TM-28 Inputs'!$I$19)+1))))),'TM-28 Inputs'!K30,"")))</f>
        <v>-</v>
      </c>
      <c r="F22" s="3">
        <f>IF(E22="","",'TM-28 Inputs'!L30)</f>
        <v>0</v>
      </c>
      <c r="G22" s="9" t="e">
        <f t="shared" si="1"/>
        <v>#NUM!</v>
      </c>
      <c r="H22" s="12" t="e">
        <f t="shared" si="2"/>
        <v>#NUM!</v>
      </c>
      <c r="I22" s="16" t="e">
        <f t="shared" si="3"/>
        <v>#VALUE!</v>
      </c>
      <c r="J22" s="17" t="e">
        <f t="shared" si="4"/>
        <v>#VALUE!</v>
      </c>
    </row>
    <row r="23" spans="3:10" x14ac:dyDescent="0.25">
      <c r="C23" s="5" t="e">
        <f t="shared" si="5"/>
        <v>#VALUE!</v>
      </c>
      <c r="D23" s="5" t="e">
        <f t="shared" si="0"/>
        <v>#VALUE!</v>
      </c>
      <c r="E23" s="7" t="str">
        <f>IF(OR('TM-28 Inputs'!$I$19="",'TM-28 Inputs'!$I$21=""),"-",IF(OR('TM-28 Inputs'!K31="",'TM-28 Inputs'!L31=""),"",IF(OR(AND('TM-28 Inputs'!$I$19&gt;=5952,'TM-28 Inputs'!$I$19&lt;=10000,'TM-28 Inputs'!K31&gt;='TM-28 Inputs'!$I$19-5096),AND('TM-28 Inputs'!$I$19&gt;10000,OR('TM-28 Inputs'!K31&gt;=0.5*'TM-28 Inputs'!$I$19,'TM-28 Inputs'!K31=SMALL('TM-28 Inputs'!$K$10:$K$33,COUNTIF('TM-28 Inputs'!$K$10:$K$33,"&lt;"&amp;(0.5*'TM-28 Inputs'!$I$19)+1))))),'TM-28 Inputs'!K31,"")))</f>
        <v>-</v>
      </c>
      <c r="F23" s="3">
        <f>IF(E23="","",'TM-28 Inputs'!L31)</f>
        <v>0</v>
      </c>
      <c r="G23" s="9" t="e">
        <f t="shared" si="1"/>
        <v>#NUM!</v>
      </c>
      <c r="H23" s="12" t="e">
        <f t="shared" si="2"/>
        <v>#NUM!</v>
      </c>
      <c r="I23" s="16" t="e">
        <f t="shared" si="3"/>
        <v>#VALUE!</v>
      </c>
      <c r="J23" s="17" t="e">
        <f t="shared" si="4"/>
        <v>#VALUE!</v>
      </c>
    </row>
    <row r="24" spans="3:10" x14ac:dyDescent="0.25">
      <c r="C24" s="5" t="e">
        <f t="shared" si="5"/>
        <v>#VALUE!</v>
      </c>
      <c r="D24" s="5" t="e">
        <f t="shared" si="0"/>
        <v>#VALUE!</v>
      </c>
      <c r="E24" s="7" t="str">
        <f>IF(OR('TM-28 Inputs'!$I$19="",'TM-28 Inputs'!$I$21=""),"-",IF(OR('TM-28 Inputs'!K32="",'TM-28 Inputs'!L32=""),"",IF(OR(AND('TM-28 Inputs'!$I$19&gt;=5952,'TM-28 Inputs'!$I$19&lt;=10000,'TM-28 Inputs'!K32&gt;='TM-28 Inputs'!$I$19-5096),AND('TM-28 Inputs'!$I$19&gt;10000,OR('TM-28 Inputs'!K32&gt;=0.5*'TM-28 Inputs'!$I$19,'TM-28 Inputs'!K32=SMALL('TM-28 Inputs'!$K$10:$K$33,COUNTIF('TM-28 Inputs'!$K$10:$K$33,"&lt;"&amp;(0.5*'TM-28 Inputs'!$I$19)+1))))),'TM-28 Inputs'!K32,"")))</f>
        <v>-</v>
      </c>
      <c r="F24" s="3">
        <f>IF(E24="","",'TM-28 Inputs'!L32)</f>
        <v>0</v>
      </c>
      <c r="G24" s="9" t="e">
        <f t="shared" si="1"/>
        <v>#NUM!</v>
      </c>
      <c r="H24" s="12" t="e">
        <f t="shared" si="2"/>
        <v>#NUM!</v>
      </c>
      <c r="I24" s="16" t="e">
        <f t="shared" si="3"/>
        <v>#VALUE!</v>
      </c>
      <c r="J24" s="17" t="e">
        <f t="shared" si="4"/>
        <v>#VALUE!</v>
      </c>
    </row>
    <row r="25" spans="3:10" x14ac:dyDescent="0.25">
      <c r="C25" s="6" t="e">
        <f t="shared" si="5"/>
        <v>#VALUE!</v>
      </c>
      <c r="D25" s="6" t="e">
        <f t="shared" si="0"/>
        <v>#VALUE!</v>
      </c>
      <c r="E25" s="7" t="str">
        <f>IF(OR('TM-28 Inputs'!$I$19="",'TM-28 Inputs'!$I$21=""),"-",IF(OR('TM-28 Inputs'!K33="",'TM-28 Inputs'!L33=""),"",IF(OR(AND('TM-28 Inputs'!$I$19&gt;=5952,'TM-28 Inputs'!$I$19&lt;=10000,'TM-28 Inputs'!K33&gt;='TM-28 Inputs'!$I$19-5096),AND('TM-28 Inputs'!$I$19&gt;10000,OR('TM-28 Inputs'!K33&gt;=0.5*'TM-28 Inputs'!$I$19,'TM-28 Inputs'!K33=SMALL('TM-28 Inputs'!$K$10:$K$33,COUNTIF('TM-28 Inputs'!$K$10:$K$33,"&lt;"&amp;(0.5*'TM-28 Inputs'!$I$19)+1))))),'TM-28 Inputs'!K33,"")))</f>
        <v>-</v>
      </c>
      <c r="F25" s="4">
        <f>IF(E25="","",'TM-28 Inputs'!L33)</f>
        <v>0</v>
      </c>
      <c r="G25" s="10" t="e">
        <f t="shared" si="1"/>
        <v>#NUM!</v>
      </c>
      <c r="H25" s="13" t="e">
        <f t="shared" si="2"/>
        <v>#NUM!</v>
      </c>
      <c r="I25" s="18" t="e">
        <f t="shared" si="3"/>
        <v>#VALUE!</v>
      </c>
      <c r="J25" s="19" t="e">
        <f t="shared" si="4"/>
        <v>#VALUE!</v>
      </c>
    </row>
    <row r="26" spans="3:10" ht="15.75" thickBot="1" x14ac:dyDescent="0.3">
      <c r="C26" s="182" t="str">
        <f>IF(COUNTIFS(C6:C25,"&gt;96")=0,"PASS","FAIL")</f>
        <v>PASS</v>
      </c>
      <c r="D26" s="20" t="s">
        <v>8</v>
      </c>
      <c r="E26" s="21">
        <f t="shared" ref="E26:J26" si="6">SUM(E6:E25)</f>
        <v>0</v>
      </c>
      <c r="F26" s="22">
        <f>SUM(F6:F25)</f>
        <v>0</v>
      </c>
      <c r="G26" s="23" t="e">
        <f t="shared" si="6"/>
        <v>#NUM!</v>
      </c>
      <c r="H26" s="24" t="e">
        <f t="shared" si="6"/>
        <v>#NUM!</v>
      </c>
      <c r="I26" s="25" t="e">
        <f t="shared" si="6"/>
        <v>#VALUE!</v>
      </c>
      <c r="J26" s="26" t="e">
        <f t="shared" si="6"/>
        <v>#VALUE!</v>
      </c>
    </row>
    <row r="27" spans="3:10" ht="15.75" thickBot="1" x14ac:dyDescent="0.3"/>
    <row r="28" spans="3:10" ht="15.75" x14ac:dyDescent="0.25">
      <c r="E28" s="298" t="s">
        <v>9</v>
      </c>
      <c r="F28" s="299"/>
    </row>
    <row r="29" spans="3:10" x14ac:dyDescent="0.25">
      <c r="E29" s="32" t="s">
        <v>13</v>
      </c>
      <c r="F29" s="33" t="e">
        <f>((COUNTIF(E6:E25,"&gt;"&amp;0)*H26-(E26*G26))/((COUNTIF(E6:E25,"&gt;"&amp;0)*I26)-(E26^2)))</f>
        <v>#NUM!</v>
      </c>
    </row>
    <row r="30" spans="3:10" x14ac:dyDescent="0.25">
      <c r="E30" s="34" t="s">
        <v>14</v>
      </c>
      <c r="F30" s="35" t="e">
        <f>(G26-(F29*E26))/COUNTIF(E6:E25,"&gt;"&amp;0)</f>
        <v>#NUM!</v>
      </c>
    </row>
    <row r="31" spans="3:10" x14ac:dyDescent="0.25">
      <c r="E31" s="36" t="s">
        <v>15</v>
      </c>
      <c r="F31" s="35" t="e">
        <f>-F29</f>
        <v>#NUM!</v>
      </c>
    </row>
    <row r="32" spans="3:10" x14ac:dyDescent="0.25">
      <c r="E32" s="34" t="s">
        <v>16</v>
      </c>
      <c r="F32" s="35" t="e">
        <f>EXP(F30)</f>
        <v>#NUM!</v>
      </c>
    </row>
    <row r="33" spans="5:6" ht="30" customHeight="1" x14ac:dyDescent="0.25">
      <c r="E33" s="37" t="str">
        <f>CONCATENATE("Calculated L",'TM-28 Inputs'!I39," (hrs):")</f>
        <v>Calculated L (hrs):</v>
      </c>
      <c r="F33" s="38" t="e">
        <f>ROUND((LN(F32/('TM-28 Inputs'!$I$39/100))/F31),-3)</f>
        <v>#NUM!</v>
      </c>
    </row>
    <row r="34" spans="5:6" ht="30.75" thickBot="1" x14ac:dyDescent="0.3">
      <c r="E34" s="39" t="str">
        <f>CONCATENATE("Reported L",'TM-28 Inputs'!I39," (hrs):")</f>
        <v>Reported L (hrs):</v>
      </c>
      <c r="F34" s="27" t="e">
        <f>IF(OR(AND('TM-28 Inputs'!$I$18&gt;=10,$F$33&lt;6*'TM-28 Inputs'!$I$19),AND('TM-28 Inputs'!$I$18&gt;=7,'TM-28 Inputs'!$I$18&lt;=9,$F$33&lt;5.5*'TM-28 Inputs'!$I$19),AND('TM-28 Inputs'!$I$18&gt;=5,'TM-28 Inputs'!$I$18&lt;=6,$F$33&lt;5*'TM-28 Inputs'!$I$19), AND('TM-28 Inputs'!$I$18=4,$F$33&lt;4*'TM-28 Inputs'!$I$19),AND('TM-28 Inputs'!$I$18=3,$F$33&lt;3*'TM-28 Inputs'!$I$19)),ROUND(F33,-3),IF('TM-28 Inputs'!$I$18&gt;=10,CONCATENATE("&gt;",ROUND((6*'TM-28 Inputs'!$I$19),-3)),IF(AND('TM-28 Inputs'!$I$18&gt;=7,'TM-28 Inputs'!$I$18&lt;=9),CONCATENATE("&gt;",ROUND((5.5*'TM-28 Inputs'!$I$19),-3)),IF(AND('TM-28 Inputs'!$I$18&gt;=5,'TM-28 Inputs'!$I$18&lt;=6),CONCATENATE("&gt;",ROUND((5*'TM-28 Inputs'!$I$19),-3)),IF('TM-28 Inputs'!$I$18=4,CONCATENATE("&gt;",ROUND((4*'TM-28 Inputs'!$I$19),-3)),IF('TM-28 Inputs'!$I$18=3, CONCATENATE("&gt;",ROUND((3*'TM-28 Inputs'!$I$19),-3)),"error"))) )))</f>
        <v>#NUM!</v>
      </c>
    </row>
  </sheetData>
  <mergeCells count="2">
    <mergeCell ref="E28:F28"/>
    <mergeCell ref="C4:J4"/>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C3:J34"/>
  <sheetViews>
    <sheetView workbookViewId="0">
      <selection activeCell="B31" sqref="B31"/>
    </sheetView>
  </sheetViews>
  <sheetFormatPr defaultRowHeight="15" x14ac:dyDescent="0.25"/>
  <cols>
    <col min="1" max="1" width="17" style="1" customWidth="1"/>
    <col min="2" max="2" width="9.140625" style="1"/>
    <col min="3" max="3" width="9.28515625" style="1" customWidth="1"/>
    <col min="4" max="4" width="9.42578125" style="1" customWidth="1"/>
    <col min="5" max="5" width="12.85546875" style="1" bestFit="1" customWidth="1"/>
    <col min="6" max="6" width="17.85546875" style="1" customWidth="1"/>
    <col min="7" max="7" width="27.5703125" style="1" customWidth="1"/>
    <col min="8" max="8" width="12.5703125" style="1" bestFit="1" customWidth="1"/>
    <col min="9" max="9" width="11.140625" style="1" bestFit="1" customWidth="1"/>
    <col min="10" max="16384" width="9.140625" style="1"/>
  </cols>
  <sheetData>
    <row r="3" spans="3:10" ht="15.75" thickBot="1" x14ac:dyDescent="0.3"/>
    <row r="4" spans="3:10" ht="15" customHeight="1" x14ac:dyDescent="0.25">
      <c r="C4" s="298" t="str">
        <f>IF('TM-28 Inputs'!I22="","Insert Ambient Temperature 2",CONCATENATE("Test Data for ",'TM-28 Inputs'!I22,"⁰C Ambient Temperature"))</f>
        <v>Insert Ambient Temperature 2</v>
      </c>
      <c r="D4" s="300"/>
      <c r="E4" s="300"/>
      <c r="F4" s="300"/>
      <c r="G4" s="300"/>
      <c r="H4" s="300"/>
      <c r="I4" s="300"/>
      <c r="J4" s="299"/>
    </row>
    <row r="5" spans="3:10" ht="60" customHeight="1" x14ac:dyDescent="0.25">
      <c r="C5" s="181" t="s">
        <v>84</v>
      </c>
      <c r="D5" s="28" t="s">
        <v>83</v>
      </c>
      <c r="E5" s="29" t="s">
        <v>3</v>
      </c>
      <c r="F5" s="30" t="s">
        <v>4</v>
      </c>
      <c r="G5" s="30" t="s">
        <v>7</v>
      </c>
      <c r="H5" s="30" t="s">
        <v>5</v>
      </c>
      <c r="I5" s="30" t="s">
        <v>6</v>
      </c>
      <c r="J5" s="31" t="s">
        <v>1</v>
      </c>
    </row>
    <row r="6" spans="3:10" x14ac:dyDescent="0.25">
      <c r="C6" s="179" t="str">
        <f>"-"</f>
        <v>-</v>
      </c>
      <c r="D6" s="179" t="str">
        <f>"-"</f>
        <v>-</v>
      </c>
      <c r="E6" s="188" t="str">
        <f>IF(OR('TM-28 Inputs'!$I$19="",'TM-28 Inputs'!$I$21=""),"-",IF(OR('TM-28 Inputs'!N10="",'TM-28 Inputs'!L10=""),"",IF(OR(AND('TM-28 Inputs'!$I$19&gt;=5952,'TM-28 Inputs'!$I$19&lt;=10000,'TM-28 Inputs'!N10&gt;='TM-28 Inputs'!$I$19-5096),AND('TM-28 Inputs'!$I$19&gt;10000,OR('TM-28 Inputs'!N10&gt;=0.5*'TM-28 Inputs'!$I$19,'TM-28 Inputs'!N10=SMALL('TM-28 Inputs'!$N$10:$N$33,COUNTIF('TM-28 Inputs'!$N$10:$N$33,"&lt;"&amp;(0.5*'TM-28 Inputs'!$I$19)+1))))),'TM-28 Inputs'!N10,"")))</f>
        <v>-</v>
      </c>
      <c r="F6" s="2">
        <f>IF(E6="","",'TM-28 Inputs'!O10)</f>
        <v>0</v>
      </c>
      <c r="G6" s="8" t="e">
        <f>IF(E6="","",LN(F6))</f>
        <v>#NUM!</v>
      </c>
      <c r="H6" s="11" t="e">
        <f>IF(E6="","",(G6*E6))</f>
        <v>#NUM!</v>
      </c>
      <c r="I6" s="14" t="e">
        <f>IF(E6="","",E6^2)</f>
        <v>#VALUE!</v>
      </c>
      <c r="J6" s="15" t="e">
        <f>IF(E6="","",E6*G6)</f>
        <v>#VALUE!</v>
      </c>
    </row>
    <row r="7" spans="3:10" x14ac:dyDescent="0.25">
      <c r="C7" s="180" t="str">
        <f>"-"</f>
        <v>-</v>
      </c>
      <c r="D7" s="5" t="e">
        <f t="shared" ref="D7:D25" si="0">IF(OR(E6="",E7=""),"",E7-E6)</f>
        <v>#VALUE!</v>
      </c>
      <c r="E7" s="189" t="str">
        <f>IF(OR('TM-28 Inputs'!$I$19="",'TM-28 Inputs'!$I$21=""),"-",IF(OR('TM-28 Inputs'!N11="",'TM-28 Inputs'!L11=""),"",IF(OR(AND('TM-28 Inputs'!$I$19&gt;=5952,'TM-28 Inputs'!$I$19&lt;=10000,'TM-28 Inputs'!N11&gt;='TM-28 Inputs'!$I$19-5096),AND('TM-28 Inputs'!$I$19&gt;10000,OR('TM-28 Inputs'!N11&gt;=0.5*'TM-28 Inputs'!$I$19,'TM-28 Inputs'!N11=SMALL('TM-28 Inputs'!$N$10:$N$33,COUNTIF('TM-28 Inputs'!$N$10:$N$33,"&lt;"&amp;(0.5*'TM-28 Inputs'!$I$19)+1))))),'TM-28 Inputs'!N11,"")))</f>
        <v>-</v>
      </c>
      <c r="F7" s="3">
        <f>IF(E7="","",'TM-28 Inputs'!O11)</f>
        <v>0</v>
      </c>
      <c r="G7" s="9" t="e">
        <f t="shared" ref="G7:G25" si="1">IF(E7="","",LN(F7))</f>
        <v>#NUM!</v>
      </c>
      <c r="H7" s="12" t="e">
        <f t="shared" ref="H7:H25" si="2">IF(E7="","",(G7*E7))</f>
        <v>#NUM!</v>
      </c>
      <c r="I7" s="16" t="e">
        <f t="shared" ref="I7:I25" si="3">IF(E7="","",E7^2)</f>
        <v>#VALUE!</v>
      </c>
      <c r="J7" s="17" t="e">
        <f t="shared" ref="J7:J25" si="4">IF(E7="","",E7*G7)</f>
        <v>#VALUE!</v>
      </c>
    </row>
    <row r="8" spans="3:10" x14ac:dyDescent="0.25">
      <c r="C8" s="5" t="e">
        <f>IF(OR(D7="",D8=""),"",ABS(D8-D7))</f>
        <v>#VALUE!</v>
      </c>
      <c r="D8" s="5" t="e">
        <f t="shared" si="0"/>
        <v>#VALUE!</v>
      </c>
      <c r="E8" s="189" t="str">
        <f>IF(OR('TM-28 Inputs'!$I$19="",'TM-28 Inputs'!$I$21=""),"-",IF(OR('TM-28 Inputs'!N12="",'TM-28 Inputs'!L12=""),"",IF(OR(AND('TM-28 Inputs'!$I$19&gt;=5952,'TM-28 Inputs'!$I$19&lt;=10000,'TM-28 Inputs'!N12&gt;='TM-28 Inputs'!$I$19-5096),AND('TM-28 Inputs'!$I$19&gt;10000,OR('TM-28 Inputs'!N12&gt;=0.5*'TM-28 Inputs'!$I$19,'TM-28 Inputs'!N12=SMALL('TM-28 Inputs'!$N$10:$N$33,COUNTIF('TM-28 Inputs'!$N$10:$N$33,"&lt;"&amp;(0.5*'TM-28 Inputs'!$I$19)+1))))),'TM-28 Inputs'!N12,"")))</f>
        <v>-</v>
      </c>
      <c r="F8" s="3">
        <f>IF(E8="","",'TM-28 Inputs'!O12)</f>
        <v>0</v>
      </c>
      <c r="G8" s="9" t="e">
        <f t="shared" si="1"/>
        <v>#NUM!</v>
      </c>
      <c r="H8" s="12" t="e">
        <f t="shared" si="2"/>
        <v>#NUM!</v>
      </c>
      <c r="I8" s="16" t="e">
        <f t="shared" si="3"/>
        <v>#VALUE!</v>
      </c>
      <c r="J8" s="17" t="e">
        <f t="shared" si="4"/>
        <v>#VALUE!</v>
      </c>
    </row>
    <row r="9" spans="3:10" x14ac:dyDescent="0.25">
      <c r="C9" s="5" t="e">
        <f t="shared" ref="C9:C25" si="5">IF(OR(D8="",D9=""),"",ABS(D9-D8))</f>
        <v>#VALUE!</v>
      </c>
      <c r="D9" s="5" t="e">
        <f t="shared" si="0"/>
        <v>#VALUE!</v>
      </c>
      <c r="E9" s="189" t="str">
        <f>IF(OR('TM-28 Inputs'!$I$19="",'TM-28 Inputs'!$I$21=""),"-",IF(OR('TM-28 Inputs'!N13="",'TM-28 Inputs'!L13=""),"",IF(OR(AND('TM-28 Inputs'!$I$19&gt;=5952,'TM-28 Inputs'!$I$19&lt;=10000,'TM-28 Inputs'!N13&gt;='TM-28 Inputs'!$I$19-5096),AND('TM-28 Inputs'!$I$19&gt;10000,OR('TM-28 Inputs'!N13&gt;=0.5*'TM-28 Inputs'!$I$19,'TM-28 Inputs'!N13=SMALL('TM-28 Inputs'!$N$10:$N$33,COUNTIF('TM-28 Inputs'!$N$10:$N$33,"&lt;"&amp;(0.5*'TM-28 Inputs'!$I$19)+1))))),'TM-28 Inputs'!N13,"")))</f>
        <v>-</v>
      </c>
      <c r="F9" s="3">
        <f>IF(E9="","",'TM-28 Inputs'!O13)</f>
        <v>0</v>
      </c>
      <c r="G9" s="9" t="e">
        <f t="shared" si="1"/>
        <v>#NUM!</v>
      </c>
      <c r="H9" s="12" t="e">
        <f t="shared" si="2"/>
        <v>#NUM!</v>
      </c>
      <c r="I9" s="16" t="e">
        <f t="shared" si="3"/>
        <v>#VALUE!</v>
      </c>
      <c r="J9" s="17" t="e">
        <f t="shared" si="4"/>
        <v>#VALUE!</v>
      </c>
    </row>
    <row r="10" spans="3:10" x14ac:dyDescent="0.25">
      <c r="C10" s="5" t="e">
        <f t="shared" si="5"/>
        <v>#VALUE!</v>
      </c>
      <c r="D10" s="5" t="e">
        <f t="shared" si="0"/>
        <v>#VALUE!</v>
      </c>
      <c r="E10" s="189" t="str">
        <f>IF(OR('TM-28 Inputs'!$I$19="",'TM-28 Inputs'!$I$21=""),"-",IF(OR('TM-28 Inputs'!N14="",'TM-28 Inputs'!L14=""),"",IF(OR(AND('TM-28 Inputs'!$I$19&gt;=5952,'TM-28 Inputs'!$I$19&lt;=10000,'TM-28 Inputs'!N14&gt;='TM-28 Inputs'!$I$19-5096),AND('TM-28 Inputs'!$I$19&gt;10000,OR('TM-28 Inputs'!N14&gt;=0.5*'TM-28 Inputs'!$I$19,'TM-28 Inputs'!N14=SMALL('TM-28 Inputs'!$N$10:$N$33,COUNTIF('TM-28 Inputs'!$N$10:$N$33,"&lt;"&amp;(0.5*'TM-28 Inputs'!$I$19)+1))))),'TM-28 Inputs'!N14,"")))</f>
        <v>-</v>
      </c>
      <c r="F10" s="3">
        <f>IF(E10="","",'TM-28 Inputs'!O14)</f>
        <v>0</v>
      </c>
      <c r="G10" s="9" t="e">
        <f t="shared" si="1"/>
        <v>#NUM!</v>
      </c>
      <c r="H10" s="12" t="e">
        <f t="shared" si="2"/>
        <v>#NUM!</v>
      </c>
      <c r="I10" s="16" t="e">
        <f t="shared" si="3"/>
        <v>#VALUE!</v>
      </c>
      <c r="J10" s="17" t="e">
        <f t="shared" si="4"/>
        <v>#VALUE!</v>
      </c>
    </row>
    <row r="11" spans="3:10" x14ac:dyDescent="0.25">
      <c r="C11" s="5" t="e">
        <f t="shared" si="5"/>
        <v>#VALUE!</v>
      </c>
      <c r="D11" s="5" t="e">
        <f t="shared" si="0"/>
        <v>#VALUE!</v>
      </c>
      <c r="E11" s="189" t="str">
        <f>IF(OR('TM-28 Inputs'!$I$19="",'TM-28 Inputs'!$I$21=""),"-",IF(OR('TM-28 Inputs'!N15="",'TM-28 Inputs'!L15=""),"",IF(OR(AND('TM-28 Inputs'!$I$19&gt;=5952,'TM-28 Inputs'!$I$19&lt;=10000,'TM-28 Inputs'!N15&gt;='TM-28 Inputs'!$I$19-5096),AND('TM-28 Inputs'!$I$19&gt;10000,OR('TM-28 Inputs'!N15&gt;=0.5*'TM-28 Inputs'!$I$19,'TM-28 Inputs'!N15=SMALL('TM-28 Inputs'!$N$10:$N$33,COUNTIF('TM-28 Inputs'!$N$10:$N$33,"&lt;"&amp;(0.5*'TM-28 Inputs'!$I$19)+1))))),'TM-28 Inputs'!N15,"")))</f>
        <v>-</v>
      </c>
      <c r="F11" s="3">
        <f>IF(E11="","",'TM-28 Inputs'!O15)</f>
        <v>0</v>
      </c>
      <c r="G11" s="9" t="e">
        <f t="shared" si="1"/>
        <v>#NUM!</v>
      </c>
      <c r="H11" s="12" t="e">
        <f t="shared" si="2"/>
        <v>#NUM!</v>
      </c>
      <c r="I11" s="16" t="e">
        <f t="shared" si="3"/>
        <v>#VALUE!</v>
      </c>
      <c r="J11" s="17" t="e">
        <f t="shared" si="4"/>
        <v>#VALUE!</v>
      </c>
    </row>
    <row r="12" spans="3:10" x14ac:dyDescent="0.25">
      <c r="C12" s="5" t="e">
        <f t="shared" si="5"/>
        <v>#VALUE!</v>
      </c>
      <c r="D12" s="5" t="e">
        <f t="shared" si="0"/>
        <v>#VALUE!</v>
      </c>
      <c r="E12" s="189" t="str">
        <f>IF(OR('TM-28 Inputs'!$I$19="",'TM-28 Inputs'!$I$21=""),"-",IF(OR('TM-28 Inputs'!N16="",'TM-28 Inputs'!L16=""),"",IF(OR(AND('TM-28 Inputs'!$I$19&gt;=5952,'TM-28 Inputs'!$I$19&lt;=10000,'TM-28 Inputs'!N16&gt;='TM-28 Inputs'!$I$19-5096),AND('TM-28 Inputs'!$I$19&gt;10000,OR('TM-28 Inputs'!N16&gt;=0.5*'TM-28 Inputs'!$I$19,'TM-28 Inputs'!N16=SMALL('TM-28 Inputs'!$N$10:$N$33,COUNTIF('TM-28 Inputs'!$N$10:$N$33,"&lt;"&amp;(0.5*'TM-28 Inputs'!$I$19)+1))))),'TM-28 Inputs'!N16,"")))</f>
        <v>-</v>
      </c>
      <c r="F12" s="3">
        <f>IF(E12="","",'TM-28 Inputs'!O16)</f>
        <v>0</v>
      </c>
      <c r="G12" s="9" t="e">
        <f t="shared" si="1"/>
        <v>#NUM!</v>
      </c>
      <c r="H12" s="12" t="e">
        <f t="shared" si="2"/>
        <v>#NUM!</v>
      </c>
      <c r="I12" s="16" t="e">
        <f t="shared" si="3"/>
        <v>#VALUE!</v>
      </c>
      <c r="J12" s="17" t="e">
        <f t="shared" si="4"/>
        <v>#VALUE!</v>
      </c>
    </row>
    <row r="13" spans="3:10" x14ac:dyDescent="0.25">
      <c r="C13" s="5" t="e">
        <f t="shared" si="5"/>
        <v>#VALUE!</v>
      </c>
      <c r="D13" s="5" t="e">
        <f t="shared" si="0"/>
        <v>#VALUE!</v>
      </c>
      <c r="E13" s="189" t="str">
        <f>IF(OR('TM-28 Inputs'!$I$19="",'TM-28 Inputs'!$I$21=""),"-",IF(OR('TM-28 Inputs'!N17="",'TM-28 Inputs'!L17=""),"",IF(OR(AND('TM-28 Inputs'!$I$19&gt;=5952,'TM-28 Inputs'!$I$19&lt;=10000,'TM-28 Inputs'!N17&gt;='TM-28 Inputs'!$I$19-5096),AND('TM-28 Inputs'!$I$19&gt;10000,OR('TM-28 Inputs'!N17&gt;=0.5*'TM-28 Inputs'!$I$19,'TM-28 Inputs'!N17=SMALL('TM-28 Inputs'!$N$10:$N$33,COUNTIF('TM-28 Inputs'!$N$10:$N$33,"&lt;"&amp;(0.5*'TM-28 Inputs'!$I$19)+1))))),'TM-28 Inputs'!N17,"")))</f>
        <v>-</v>
      </c>
      <c r="F13" s="3">
        <f>IF(E13="","",'TM-28 Inputs'!O17)</f>
        <v>0</v>
      </c>
      <c r="G13" s="9" t="e">
        <f t="shared" si="1"/>
        <v>#NUM!</v>
      </c>
      <c r="H13" s="12" t="e">
        <f t="shared" si="2"/>
        <v>#NUM!</v>
      </c>
      <c r="I13" s="16" t="e">
        <f t="shared" si="3"/>
        <v>#VALUE!</v>
      </c>
      <c r="J13" s="17" t="e">
        <f t="shared" si="4"/>
        <v>#VALUE!</v>
      </c>
    </row>
    <row r="14" spans="3:10" x14ac:dyDescent="0.25">
      <c r="C14" s="5" t="e">
        <f t="shared" si="5"/>
        <v>#VALUE!</v>
      </c>
      <c r="D14" s="5" t="e">
        <f t="shared" si="0"/>
        <v>#VALUE!</v>
      </c>
      <c r="E14" s="189" t="str">
        <f>IF(OR('TM-28 Inputs'!$I$19="",'TM-28 Inputs'!$I$21=""),"-",IF(OR('TM-28 Inputs'!N18="",'TM-28 Inputs'!L18=""),"",IF(OR(AND('TM-28 Inputs'!$I$19&gt;=5952,'TM-28 Inputs'!$I$19&lt;=10000,'TM-28 Inputs'!N18&gt;='TM-28 Inputs'!$I$19-5096),AND('TM-28 Inputs'!$I$19&gt;10000,OR('TM-28 Inputs'!N18&gt;=0.5*'TM-28 Inputs'!$I$19,'TM-28 Inputs'!N18=SMALL('TM-28 Inputs'!$N$10:$N$33,COUNTIF('TM-28 Inputs'!$N$10:$N$33,"&lt;"&amp;(0.5*'TM-28 Inputs'!$I$19)+1))))),'TM-28 Inputs'!N18,"")))</f>
        <v>-</v>
      </c>
      <c r="F14" s="3">
        <f>IF(E14="","",'TM-28 Inputs'!O18)</f>
        <v>0</v>
      </c>
      <c r="G14" s="9" t="e">
        <f t="shared" si="1"/>
        <v>#NUM!</v>
      </c>
      <c r="H14" s="12" t="e">
        <f t="shared" si="2"/>
        <v>#NUM!</v>
      </c>
      <c r="I14" s="16" t="e">
        <f t="shared" si="3"/>
        <v>#VALUE!</v>
      </c>
      <c r="J14" s="17" t="e">
        <f t="shared" si="4"/>
        <v>#VALUE!</v>
      </c>
    </row>
    <row r="15" spans="3:10" x14ac:dyDescent="0.25">
      <c r="C15" s="5" t="e">
        <f t="shared" si="5"/>
        <v>#VALUE!</v>
      </c>
      <c r="D15" s="5" t="e">
        <f t="shared" si="0"/>
        <v>#VALUE!</v>
      </c>
      <c r="E15" s="189" t="str">
        <f>IF(OR('TM-28 Inputs'!$I$19="",'TM-28 Inputs'!$I$21=""),"-",IF(OR('TM-28 Inputs'!N19="",'TM-28 Inputs'!L19=""),"",IF(OR(AND('TM-28 Inputs'!$I$19&gt;=5952,'TM-28 Inputs'!$I$19&lt;=10000,'TM-28 Inputs'!N19&gt;='TM-28 Inputs'!$I$19-5096),AND('TM-28 Inputs'!$I$19&gt;10000,OR('TM-28 Inputs'!N19&gt;=0.5*'TM-28 Inputs'!$I$19,'TM-28 Inputs'!N19=SMALL('TM-28 Inputs'!$N$10:$N$33,COUNTIF('TM-28 Inputs'!$N$10:$N$33,"&lt;"&amp;(0.5*'TM-28 Inputs'!$I$19)+1))))),'TM-28 Inputs'!N19,"")))</f>
        <v>-</v>
      </c>
      <c r="F15" s="3">
        <f>IF(E15="","",'TM-28 Inputs'!O19)</f>
        <v>0</v>
      </c>
      <c r="G15" s="9" t="e">
        <f t="shared" si="1"/>
        <v>#NUM!</v>
      </c>
      <c r="H15" s="12" t="e">
        <f t="shared" si="2"/>
        <v>#NUM!</v>
      </c>
      <c r="I15" s="16" t="e">
        <f t="shared" si="3"/>
        <v>#VALUE!</v>
      </c>
      <c r="J15" s="17" t="e">
        <f t="shared" si="4"/>
        <v>#VALUE!</v>
      </c>
    </row>
    <row r="16" spans="3:10" x14ac:dyDescent="0.25">
      <c r="C16" s="5" t="e">
        <f t="shared" si="5"/>
        <v>#VALUE!</v>
      </c>
      <c r="D16" s="5" t="e">
        <f t="shared" si="0"/>
        <v>#VALUE!</v>
      </c>
      <c r="E16" s="189" t="str">
        <f>IF(OR('TM-28 Inputs'!$I$19="",'TM-28 Inputs'!$I$21=""),"-",IF(OR('TM-28 Inputs'!N20="",'TM-28 Inputs'!L20=""),"",IF(OR(AND('TM-28 Inputs'!$I$19&gt;=5952,'TM-28 Inputs'!$I$19&lt;=10000,'TM-28 Inputs'!N20&gt;='TM-28 Inputs'!$I$19-5096),AND('TM-28 Inputs'!$I$19&gt;10000,OR('TM-28 Inputs'!N20&gt;=0.5*'TM-28 Inputs'!$I$19,'TM-28 Inputs'!N20=SMALL('TM-28 Inputs'!$N$10:$N$33,COUNTIF('TM-28 Inputs'!$N$10:$N$33,"&lt;"&amp;(0.5*'TM-28 Inputs'!$I$19)+1))))),'TM-28 Inputs'!N20,"")))</f>
        <v>-</v>
      </c>
      <c r="F16" s="3">
        <f>IF(E16="","",'TM-28 Inputs'!O20)</f>
        <v>0</v>
      </c>
      <c r="G16" s="9" t="e">
        <f t="shared" si="1"/>
        <v>#NUM!</v>
      </c>
      <c r="H16" s="12" t="e">
        <f t="shared" si="2"/>
        <v>#NUM!</v>
      </c>
      <c r="I16" s="16" t="e">
        <f t="shared" si="3"/>
        <v>#VALUE!</v>
      </c>
      <c r="J16" s="17" t="e">
        <f t="shared" si="4"/>
        <v>#VALUE!</v>
      </c>
    </row>
    <row r="17" spans="3:10" x14ac:dyDescent="0.25">
      <c r="C17" s="5" t="e">
        <f t="shared" si="5"/>
        <v>#VALUE!</v>
      </c>
      <c r="D17" s="5" t="e">
        <f t="shared" si="0"/>
        <v>#VALUE!</v>
      </c>
      <c r="E17" s="189" t="str">
        <f>IF(OR('TM-28 Inputs'!$I$19="",'TM-28 Inputs'!$I$21=""),"-",IF(OR('TM-28 Inputs'!N21="",'TM-28 Inputs'!L21=""),"",IF(OR(AND('TM-28 Inputs'!$I$19&gt;=5952,'TM-28 Inputs'!$I$19&lt;=10000,'TM-28 Inputs'!N21&gt;='TM-28 Inputs'!$I$19-5096),AND('TM-28 Inputs'!$I$19&gt;10000,OR('TM-28 Inputs'!N21&gt;=0.5*'TM-28 Inputs'!$I$19,'TM-28 Inputs'!N21=SMALL('TM-28 Inputs'!$N$10:$N$33,COUNTIF('TM-28 Inputs'!$N$10:$N$33,"&lt;"&amp;(0.5*'TM-28 Inputs'!$I$19)+1))))),'TM-28 Inputs'!N21,"")))</f>
        <v>-</v>
      </c>
      <c r="F17" s="3">
        <f>IF(E17="","",'TM-28 Inputs'!O21)</f>
        <v>0</v>
      </c>
      <c r="G17" s="9" t="e">
        <f t="shared" si="1"/>
        <v>#NUM!</v>
      </c>
      <c r="H17" s="12" t="e">
        <f t="shared" si="2"/>
        <v>#NUM!</v>
      </c>
      <c r="I17" s="16" t="e">
        <f t="shared" si="3"/>
        <v>#VALUE!</v>
      </c>
      <c r="J17" s="17" t="e">
        <f t="shared" si="4"/>
        <v>#VALUE!</v>
      </c>
    </row>
    <row r="18" spans="3:10" x14ac:dyDescent="0.25">
      <c r="C18" s="5" t="e">
        <f t="shared" si="5"/>
        <v>#VALUE!</v>
      </c>
      <c r="D18" s="5" t="e">
        <f t="shared" si="0"/>
        <v>#VALUE!</v>
      </c>
      <c r="E18" s="189" t="str">
        <f>IF(OR('TM-28 Inputs'!$I$19="",'TM-28 Inputs'!$I$21=""),"-",IF(OR('TM-28 Inputs'!N22="",'TM-28 Inputs'!L22=""),"",IF(OR(AND('TM-28 Inputs'!$I$19&gt;=5952,'TM-28 Inputs'!$I$19&lt;=10000,'TM-28 Inputs'!N22&gt;='TM-28 Inputs'!$I$19-5096),AND('TM-28 Inputs'!$I$19&gt;10000,OR('TM-28 Inputs'!N22&gt;=0.5*'TM-28 Inputs'!$I$19,'TM-28 Inputs'!N22=SMALL('TM-28 Inputs'!$N$10:$N$33,COUNTIF('TM-28 Inputs'!$N$10:$N$33,"&lt;"&amp;(0.5*'TM-28 Inputs'!$I$19)+1))))),'TM-28 Inputs'!N22,"")))</f>
        <v>-</v>
      </c>
      <c r="F18" s="3">
        <f>IF(E18="","",'TM-28 Inputs'!O22)</f>
        <v>0</v>
      </c>
      <c r="G18" s="9" t="e">
        <f t="shared" si="1"/>
        <v>#NUM!</v>
      </c>
      <c r="H18" s="12" t="e">
        <f t="shared" si="2"/>
        <v>#NUM!</v>
      </c>
      <c r="I18" s="16" t="e">
        <f t="shared" si="3"/>
        <v>#VALUE!</v>
      </c>
      <c r="J18" s="17" t="e">
        <f t="shared" si="4"/>
        <v>#VALUE!</v>
      </c>
    </row>
    <row r="19" spans="3:10" x14ac:dyDescent="0.25">
      <c r="C19" s="5" t="e">
        <f t="shared" si="5"/>
        <v>#VALUE!</v>
      </c>
      <c r="D19" s="5" t="e">
        <f t="shared" si="0"/>
        <v>#VALUE!</v>
      </c>
      <c r="E19" s="189" t="str">
        <f>IF(OR('TM-28 Inputs'!$I$19="",'TM-28 Inputs'!$I$21=""),"-",IF(OR('TM-28 Inputs'!N23="",'TM-28 Inputs'!L23=""),"",IF(OR(AND('TM-28 Inputs'!$I$19&gt;=5952,'TM-28 Inputs'!$I$19&lt;=10000,'TM-28 Inputs'!N23&gt;='TM-28 Inputs'!$I$19-5096),AND('TM-28 Inputs'!$I$19&gt;10000,OR('TM-28 Inputs'!N23&gt;=0.5*'TM-28 Inputs'!$I$19,'TM-28 Inputs'!N23=SMALL('TM-28 Inputs'!$N$10:$N$33,COUNTIF('TM-28 Inputs'!$N$10:$N$33,"&lt;"&amp;(0.5*'TM-28 Inputs'!$I$19)+1))))),'TM-28 Inputs'!N23,"")))</f>
        <v>-</v>
      </c>
      <c r="F19" s="3">
        <f>IF(E19="","",'TM-28 Inputs'!O23)</f>
        <v>0</v>
      </c>
      <c r="G19" s="9" t="e">
        <f t="shared" si="1"/>
        <v>#NUM!</v>
      </c>
      <c r="H19" s="12" t="e">
        <f t="shared" si="2"/>
        <v>#NUM!</v>
      </c>
      <c r="I19" s="16" t="e">
        <f t="shared" si="3"/>
        <v>#VALUE!</v>
      </c>
      <c r="J19" s="17" t="e">
        <f t="shared" si="4"/>
        <v>#VALUE!</v>
      </c>
    </row>
    <row r="20" spans="3:10" x14ac:dyDescent="0.25">
      <c r="C20" s="5" t="e">
        <f t="shared" si="5"/>
        <v>#VALUE!</v>
      </c>
      <c r="D20" s="5" t="e">
        <f t="shared" si="0"/>
        <v>#VALUE!</v>
      </c>
      <c r="E20" s="189" t="str">
        <f>IF(OR('TM-28 Inputs'!$I$19="",'TM-28 Inputs'!$I$21=""),"-",IF(OR('TM-28 Inputs'!N28="",'TM-28 Inputs'!L28=""),"",IF(OR(AND('TM-28 Inputs'!$I$19&gt;=5952,'TM-28 Inputs'!$I$19&lt;=10000,'TM-28 Inputs'!N28&gt;='TM-28 Inputs'!$I$19-5096),AND('TM-28 Inputs'!$I$19&gt;10000,OR('TM-28 Inputs'!N28&gt;=0.5*'TM-28 Inputs'!$I$19,'TM-28 Inputs'!N28=SMALL('TM-28 Inputs'!$N$10:$N$33,COUNTIF('TM-28 Inputs'!$N$10:$N$33,"&lt;"&amp;(0.5*'TM-28 Inputs'!$I$19)+1))))),'TM-28 Inputs'!N28,"")))</f>
        <v>-</v>
      </c>
      <c r="F20" s="3">
        <f>IF(E20="","",'TM-28 Inputs'!O28)</f>
        <v>0</v>
      </c>
      <c r="G20" s="9" t="e">
        <f t="shared" si="1"/>
        <v>#NUM!</v>
      </c>
      <c r="H20" s="12" t="e">
        <f t="shared" si="2"/>
        <v>#NUM!</v>
      </c>
      <c r="I20" s="16" t="e">
        <f t="shared" si="3"/>
        <v>#VALUE!</v>
      </c>
      <c r="J20" s="17" t="e">
        <f t="shared" si="4"/>
        <v>#VALUE!</v>
      </c>
    </row>
    <row r="21" spans="3:10" x14ac:dyDescent="0.25">
      <c r="C21" s="5" t="e">
        <f t="shared" si="5"/>
        <v>#VALUE!</v>
      </c>
      <c r="D21" s="5" t="e">
        <f t="shared" si="0"/>
        <v>#VALUE!</v>
      </c>
      <c r="E21" s="189" t="str">
        <f>IF(OR('TM-28 Inputs'!$I$19="",'TM-28 Inputs'!$I$21=""),"-",IF(OR('TM-28 Inputs'!N29="",'TM-28 Inputs'!L29=""),"",IF(OR(AND('TM-28 Inputs'!$I$19&gt;=5952,'TM-28 Inputs'!$I$19&lt;=10000,'TM-28 Inputs'!N29&gt;='TM-28 Inputs'!$I$19-5096),AND('TM-28 Inputs'!$I$19&gt;10000,OR('TM-28 Inputs'!N29&gt;=0.5*'TM-28 Inputs'!$I$19,'TM-28 Inputs'!N29=SMALL('TM-28 Inputs'!$N$10:$N$33,COUNTIF('TM-28 Inputs'!$N$10:$N$33,"&lt;"&amp;(0.5*'TM-28 Inputs'!$I$19)+1))))),'TM-28 Inputs'!N29,"")))</f>
        <v>-</v>
      </c>
      <c r="F21" s="3">
        <f>IF(E21="","",'TM-28 Inputs'!O29)</f>
        <v>0</v>
      </c>
      <c r="G21" s="9" t="e">
        <f t="shared" si="1"/>
        <v>#NUM!</v>
      </c>
      <c r="H21" s="12" t="e">
        <f t="shared" si="2"/>
        <v>#NUM!</v>
      </c>
      <c r="I21" s="16" t="e">
        <f t="shared" si="3"/>
        <v>#VALUE!</v>
      </c>
      <c r="J21" s="17" t="e">
        <f t="shared" si="4"/>
        <v>#VALUE!</v>
      </c>
    </row>
    <row r="22" spans="3:10" x14ac:dyDescent="0.25">
      <c r="C22" s="5" t="e">
        <f t="shared" si="5"/>
        <v>#VALUE!</v>
      </c>
      <c r="D22" s="5" t="e">
        <f t="shared" si="0"/>
        <v>#VALUE!</v>
      </c>
      <c r="E22" s="189" t="str">
        <f>IF(OR('TM-28 Inputs'!$I$19="",'TM-28 Inputs'!$I$21=""),"-",IF(OR('TM-28 Inputs'!N30="",'TM-28 Inputs'!L30=""),"",IF(OR(AND('TM-28 Inputs'!$I$19&gt;=5952,'TM-28 Inputs'!$I$19&lt;=10000,'TM-28 Inputs'!N30&gt;='TM-28 Inputs'!$I$19-5096),AND('TM-28 Inputs'!$I$19&gt;10000,OR('TM-28 Inputs'!N30&gt;=0.5*'TM-28 Inputs'!$I$19,'TM-28 Inputs'!N30=SMALL('TM-28 Inputs'!$N$10:$N$33,COUNTIF('TM-28 Inputs'!$N$10:$N$33,"&lt;"&amp;(0.5*'TM-28 Inputs'!$I$19)+1))))),'TM-28 Inputs'!N30,"")))</f>
        <v>-</v>
      </c>
      <c r="F22" s="3">
        <f>IF(E22="","",'TM-28 Inputs'!O30)</f>
        <v>0</v>
      </c>
      <c r="G22" s="9" t="e">
        <f t="shared" si="1"/>
        <v>#NUM!</v>
      </c>
      <c r="H22" s="12" t="e">
        <f t="shared" si="2"/>
        <v>#NUM!</v>
      </c>
      <c r="I22" s="16" t="e">
        <f t="shared" si="3"/>
        <v>#VALUE!</v>
      </c>
      <c r="J22" s="17" t="e">
        <f t="shared" si="4"/>
        <v>#VALUE!</v>
      </c>
    </row>
    <row r="23" spans="3:10" x14ac:dyDescent="0.25">
      <c r="C23" s="5" t="e">
        <f t="shared" si="5"/>
        <v>#VALUE!</v>
      </c>
      <c r="D23" s="5" t="e">
        <f t="shared" si="0"/>
        <v>#VALUE!</v>
      </c>
      <c r="E23" s="189" t="str">
        <f>IF(OR('TM-28 Inputs'!$I$19="",'TM-28 Inputs'!$I$21=""),"-",IF(OR('TM-28 Inputs'!N31="",'TM-28 Inputs'!L31=""),"",IF(OR(AND('TM-28 Inputs'!$I$19&gt;=5952,'TM-28 Inputs'!$I$19&lt;=10000,'TM-28 Inputs'!N31&gt;='TM-28 Inputs'!$I$19-5096),AND('TM-28 Inputs'!$I$19&gt;10000,OR('TM-28 Inputs'!N31&gt;=0.5*'TM-28 Inputs'!$I$19,'TM-28 Inputs'!N31=SMALL('TM-28 Inputs'!$N$10:$N$33,COUNTIF('TM-28 Inputs'!$N$10:$N$33,"&lt;"&amp;(0.5*'TM-28 Inputs'!$I$19)+1))))),'TM-28 Inputs'!N31,"")))</f>
        <v>-</v>
      </c>
      <c r="F23" s="3">
        <f>IF(E23="","",'TM-28 Inputs'!O31)</f>
        <v>0</v>
      </c>
      <c r="G23" s="9" t="e">
        <f t="shared" si="1"/>
        <v>#NUM!</v>
      </c>
      <c r="H23" s="12" t="e">
        <f t="shared" si="2"/>
        <v>#NUM!</v>
      </c>
      <c r="I23" s="16" t="e">
        <f t="shared" si="3"/>
        <v>#VALUE!</v>
      </c>
      <c r="J23" s="17" t="e">
        <f t="shared" si="4"/>
        <v>#VALUE!</v>
      </c>
    </row>
    <row r="24" spans="3:10" x14ac:dyDescent="0.25">
      <c r="C24" s="5" t="e">
        <f t="shared" si="5"/>
        <v>#VALUE!</v>
      </c>
      <c r="D24" s="5" t="e">
        <f t="shared" si="0"/>
        <v>#VALUE!</v>
      </c>
      <c r="E24" s="189" t="str">
        <f>IF(OR('TM-28 Inputs'!$I$19="",'TM-28 Inputs'!$I$21=""),"-",IF(OR('TM-28 Inputs'!N32="",'TM-28 Inputs'!L32=""),"",IF(OR(AND('TM-28 Inputs'!$I$19&gt;=5952,'TM-28 Inputs'!$I$19&lt;=10000,'TM-28 Inputs'!N32&gt;='TM-28 Inputs'!$I$19-5096),AND('TM-28 Inputs'!$I$19&gt;10000,OR('TM-28 Inputs'!N32&gt;=0.5*'TM-28 Inputs'!$I$19,'TM-28 Inputs'!N32=SMALL('TM-28 Inputs'!$N$10:$N$33,COUNTIF('TM-28 Inputs'!$N$10:$N$33,"&lt;"&amp;(0.5*'TM-28 Inputs'!$I$19)+1))))),'TM-28 Inputs'!N32,"")))</f>
        <v>-</v>
      </c>
      <c r="F24" s="3">
        <f>IF(E24="","",'TM-28 Inputs'!O32)</f>
        <v>0</v>
      </c>
      <c r="G24" s="9" t="e">
        <f t="shared" si="1"/>
        <v>#NUM!</v>
      </c>
      <c r="H24" s="12" t="e">
        <f t="shared" si="2"/>
        <v>#NUM!</v>
      </c>
      <c r="I24" s="16" t="e">
        <f t="shared" si="3"/>
        <v>#VALUE!</v>
      </c>
      <c r="J24" s="17" t="e">
        <f t="shared" si="4"/>
        <v>#VALUE!</v>
      </c>
    </row>
    <row r="25" spans="3:10" x14ac:dyDescent="0.25">
      <c r="C25" s="6" t="e">
        <f t="shared" si="5"/>
        <v>#VALUE!</v>
      </c>
      <c r="D25" s="6" t="e">
        <f t="shared" si="0"/>
        <v>#VALUE!</v>
      </c>
      <c r="E25" s="189" t="str">
        <f>IF(OR('TM-28 Inputs'!$I$19="",'TM-28 Inputs'!$I$21=""),"-",IF(OR('TM-28 Inputs'!N33="",'TM-28 Inputs'!L33=""),"",IF(OR(AND('TM-28 Inputs'!$I$19&gt;=5952,'TM-28 Inputs'!$I$19&lt;=10000,'TM-28 Inputs'!N33&gt;='TM-28 Inputs'!$I$19-5096),AND('TM-28 Inputs'!$I$19&gt;10000,OR('TM-28 Inputs'!N33&gt;=0.5*'TM-28 Inputs'!$I$19,'TM-28 Inputs'!N33=SMALL('TM-28 Inputs'!$N$10:$N$33,COUNTIF('TM-28 Inputs'!$N$10:$N$33,"&lt;"&amp;(0.5*'TM-28 Inputs'!$I$19)+1))))),'TM-28 Inputs'!N33,"")))</f>
        <v>-</v>
      </c>
      <c r="F25" s="4">
        <f>IF(E25="","",'TM-28 Inputs'!O33)</f>
        <v>0</v>
      </c>
      <c r="G25" s="10" t="e">
        <f t="shared" si="1"/>
        <v>#NUM!</v>
      </c>
      <c r="H25" s="13" t="e">
        <f t="shared" si="2"/>
        <v>#NUM!</v>
      </c>
      <c r="I25" s="18" t="e">
        <f t="shared" si="3"/>
        <v>#VALUE!</v>
      </c>
      <c r="J25" s="19" t="e">
        <f t="shared" si="4"/>
        <v>#VALUE!</v>
      </c>
    </row>
    <row r="26" spans="3:10" ht="15.75" thickBot="1" x14ac:dyDescent="0.3">
      <c r="C26" s="182" t="str">
        <f>IF(COUNTIFS(C6:C25,"&gt;96")=0,"PASS","FAIL")</f>
        <v>PASS</v>
      </c>
      <c r="D26" s="20" t="s">
        <v>8</v>
      </c>
      <c r="E26" s="21">
        <f t="shared" ref="E26:F26" si="6">SUM(E6:E25)</f>
        <v>0</v>
      </c>
      <c r="F26" s="22">
        <f t="shared" si="6"/>
        <v>0</v>
      </c>
      <c r="G26" s="23" t="e">
        <f>SUM(G6:G25)</f>
        <v>#NUM!</v>
      </c>
      <c r="H26" s="24" t="e">
        <f>SUM(H6:H25)</f>
        <v>#NUM!</v>
      </c>
      <c r="I26" s="25" t="e">
        <f>SUM(I6:I25)</f>
        <v>#VALUE!</v>
      </c>
      <c r="J26" s="26" t="e">
        <f>SUM(J6:J25)</f>
        <v>#VALUE!</v>
      </c>
    </row>
    <row r="27" spans="3:10" ht="15.75" thickBot="1" x14ac:dyDescent="0.3"/>
    <row r="28" spans="3:10" ht="15.75" x14ac:dyDescent="0.25">
      <c r="E28" s="298" t="s">
        <v>9</v>
      </c>
      <c r="F28" s="299"/>
    </row>
    <row r="29" spans="3:10" x14ac:dyDescent="0.25">
      <c r="E29" s="32" t="s">
        <v>13</v>
      </c>
      <c r="F29" s="33" t="str">
        <f>IF('TM-28 Inputs'!I22="","",((COUNTIF(E6:E25,"&gt;"&amp;0)*H26-(E26*G26))/((COUNTIF(E6:E25,"&gt;"&amp;0)*I26)-(E26^2))))</f>
        <v/>
      </c>
    </row>
    <row r="30" spans="3:10" x14ac:dyDescent="0.25">
      <c r="E30" s="34" t="s">
        <v>14</v>
      </c>
      <c r="F30" s="35" t="str">
        <f>IF('TM-28 Inputs'!I22="","",(G26-(F29*E26))/COUNTIF(E6:E25,"&gt;"&amp;0))</f>
        <v/>
      </c>
    </row>
    <row r="31" spans="3:10" x14ac:dyDescent="0.25">
      <c r="E31" s="36" t="s">
        <v>15</v>
      </c>
      <c r="F31" s="35" t="str">
        <f>IF('TM-28 Inputs'!I22="","",-F29)</f>
        <v/>
      </c>
    </row>
    <row r="32" spans="3:10" x14ac:dyDescent="0.25">
      <c r="E32" s="34" t="s">
        <v>16</v>
      </c>
      <c r="F32" s="35" t="str">
        <f>IF('TM-28 Inputs'!I22="","",EXP(F30))</f>
        <v/>
      </c>
    </row>
    <row r="33" spans="5:6" ht="30" customHeight="1" x14ac:dyDescent="0.25">
      <c r="E33" s="37" t="str">
        <f>CONCATENATE("Calculated L",'TM-28 Inputs'!I39," (hrs):")</f>
        <v>Calculated L (hrs):</v>
      </c>
      <c r="F33" s="38" t="str">
        <f>IF('TM-28 Inputs'!I22="","",ROUND((LN(F32/('TM-28 Inputs'!$I$39/100))/F31),-3))</f>
        <v/>
      </c>
    </row>
    <row r="34" spans="5:6" ht="30.75" thickBot="1" x14ac:dyDescent="0.3">
      <c r="E34" s="39" t="str">
        <f>CONCATENATE("Reported L",'TM-28 Inputs'!I39," (hrs):")</f>
        <v>Reported L (hrs):</v>
      </c>
      <c r="F34" s="27" t="str">
        <f>IF('TM-28 Inputs'!$I$22="","",IF(OR(AND('TM-28 Inputs'!$I$18&gt;=10,$F$33&lt;6*'TM-28 Inputs'!$I$19),AND('TM-28 Inputs'!$I$18&gt;=7,'TM-28 Inputs'!$I$18&lt;=9,$F$33&lt;5.5*'TM-28 Inputs'!$I$19),AND('TM-28 Inputs'!$I$18&gt;=5,'TM-28 Inputs'!$I$18&lt;=6,$F$33&lt;5*'TM-28 Inputs'!$I$19), AND('TM-28 Inputs'!$I$18=4,$F$33&lt;4*'TM-28 Inputs'!$I$19),AND('TM-28 Inputs'!$I$18=3,$F$33&lt;3*'TM-28 Inputs'!$I$19)),ROUND(F33,-3),IF('TM-28 Inputs'!$I$18&gt;=10,CONCATENATE("&gt;",ROUND((6*'TM-28 Inputs'!$I$19),-3)),IF(AND('TM-28 Inputs'!$I$18&gt;=7,'TM-28 Inputs'!$I$18&lt;=9),CONCATENATE("&gt;",ROUND((5.5*'TM-28 Inputs'!$I$19),-3)),IF(AND('TM-28 Inputs'!$I$18&gt;=5,'TM-28 Inputs'!$I$18&lt;=6),CONCATENATE("&gt;",ROUND((5*'TM-28 Inputs'!$I$19),-3)),IF('TM-28 Inputs'!$I$18=4,CONCATENATE("&gt;",ROUND((4*'TM-28 Inputs'!$I$19),-3)),IF('TM-28 Inputs'!$I$18=3, CONCATENATE("&gt;",ROUND((3*'TM-28 Inputs'!$I$19),-3)),"error"))) ))) )</f>
        <v/>
      </c>
    </row>
  </sheetData>
  <mergeCells count="2">
    <mergeCell ref="E28:F28"/>
    <mergeCell ref="C4:J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rev. 02.08.16</vt:lpstr>
      <vt:lpstr>TM-28 Inputs</vt:lpstr>
      <vt:lpstr>Product Inputs</vt:lpstr>
      <vt:lpstr>TM-28 Projection</vt:lpstr>
      <vt:lpstr>TM-28 Report</vt:lpstr>
      <vt:lpstr>Hide when public ==&gt;</vt:lpstr>
      <vt:lpstr>Calculations - Ambient Temp 1</vt:lpstr>
      <vt:lpstr>Calculations - Ambient Temp 2</vt:lpstr>
      <vt:lpstr>'Product Inputs'!Print_Area</vt:lpstr>
    </vt:vector>
  </TitlesOfParts>
  <Company>DRINTL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Lauf</dc:creator>
  <cp:lastModifiedBy>Baldewicz, Daniel</cp:lastModifiedBy>
  <cp:lastPrinted>2015-07-16T14:14:01Z</cp:lastPrinted>
  <dcterms:created xsi:type="dcterms:W3CDTF">2011-11-01T14:53:21Z</dcterms:created>
  <dcterms:modified xsi:type="dcterms:W3CDTF">2016-02-08T21:03:33Z</dcterms:modified>
</cp:coreProperties>
</file>